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tables/table1.xml" ContentType="application/vnd.openxmlformats-officedocument.spreadsheetml.table+xml"/>
  <Override PartName="/xl/charts/chart6.xml" ContentType="application/vnd.openxmlformats-officedocument.drawingml.chart+xml"/>
  <Override PartName="/xl/charts/chart7.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drawings/drawing7.xml" ContentType="application/vnd.openxmlformats-officedocument.drawing+xml"/>
  <Override PartName="/xl/comments3.xml" ContentType="application/vnd.openxmlformats-officedocument.spreadsheetml.comments+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15.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18.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rmando\Downloads\formatos\PRODUCCIÓN\"/>
    </mc:Choice>
  </mc:AlternateContent>
  <xr:revisionPtr revIDLastSave="0" documentId="13_ncr:1_{81748B80-BDB2-495D-8449-33A622CF9454}" xr6:coauthVersionLast="47" xr6:coauthVersionMax="47" xr10:uidLastSave="{00000000-0000-0000-0000-000000000000}"/>
  <bookViews>
    <workbookView xWindow="-120" yWindow="-120" windowWidth="29040" windowHeight="15840" firstSheet="28" activeTab="34" xr2:uid="{00000000-000D-0000-FFFF-FFFF00000000}"/>
  </bookViews>
  <sheets>
    <sheet name="Evaluacion 5s" sheetId="4" r:id="rId1"/>
    <sheet name="MRP" sheetId="12" r:id="rId2"/>
    <sheet name="costos de produccion" sheetId="13" r:id="rId3"/>
    <sheet name="Gantt" sheetId="14" r:id="rId4"/>
    <sheet name="Indice productividad" sheetId="15" r:id="rId5"/>
    <sheet name="Grafico control ventas" sheetId="16" r:id="rId6"/>
    <sheet name="Balanceo lineas produccion" sheetId="17" r:id="rId7"/>
    <sheet name="Desempeño Líneas de producción" sheetId="18" r:id="rId8"/>
    <sheet name="Productividad por producto" sheetId="19" r:id="rId9"/>
    <sheet name="Grafica procesos X-R" sheetId="20" r:id="rId10"/>
    <sheet name="Conversión de unidades" sheetId="21" r:id="rId11"/>
    <sheet name="diagrama de procesos" sheetId="22" r:id="rId12"/>
    <sheet name="diagrama bimanual" sheetId="23" r:id="rId13"/>
    <sheet name="diagrama ishikawa" sheetId="24" r:id="rId14"/>
    <sheet name="takt time" sheetId="25" r:id="rId15"/>
    <sheet name="lote de produccion" sheetId="26" r:id="rId16"/>
    <sheet name="diagrama hombre maquina" sheetId="27" r:id="rId17"/>
    <sheet name="CP" sheetId="28" r:id="rId18"/>
    <sheet name="productividad ejercicios" sheetId="29" r:id="rId19"/>
    <sheet name="capacidad de produccion" sheetId="30" r:id="rId20"/>
    <sheet name="balanceo lineas produccion (2)" sheetId="31" r:id="rId21"/>
    <sheet name="cross functional map" sheetId="1" r:id="rId22"/>
    <sheet name="Diagrama de correlacion" sheetId="2" r:id="rId23"/>
    <sheet name="minuta de reunión" sheetId="3" r:id="rId24"/>
    <sheet name="Mantenimiento autonomo" sheetId="32" r:id="rId25"/>
    <sheet name="Mantenimiento preventivo" sheetId="40" r:id="rId26"/>
    <sheet name="Hoja desperdicios de lean" sheetId="33" r:id="rId27"/>
    <sheet name="Calculo WIP to SWIP" sheetId="34" r:id="rId28"/>
    <sheet name="Calculo rendimiento total glob " sheetId="35" r:id="rId29"/>
    <sheet name="Calculo para caja heijunka" sheetId="36" r:id="rId30"/>
    <sheet name="Evento kaizen" sheetId="37" r:id="rId31"/>
    <sheet name="AMEF" sheetId="38" r:id="rId32"/>
    <sheet name="Tecnica interrogatorio" sheetId="39" r:id="rId33"/>
    <sheet name="8 Ds" sheetId="41" r:id="rId34"/>
    <sheet name="OEE" sheetId="42" r:id="rId35"/>
  </sheets>
  <externalReferences>
    <externalReference r:id="rId36"/>
    <externalReference r:id="rId37"/>
  </externalReferences>
  <definedNames>
    <definedName name="_Fill" hidden="1">#REF!</definedName>
    <definedName name="_xlnm.Print_Area" localSheetId="11">'diagrama de procesos'!$A$1:$L$47</definedName>
    <definedName name="Buenos" localSheetId="8">OFFSET('[1]Desempeño Líneas de producción'!$F$3,1,0,COUNT('[1]Desempeño Líneas de producción'!$F$3:$F$499),1)</definedName>
    <definedName name="Buenos">OFFSET('Desempeño Líneas de producción'!$F$3,1,0,COUNT('Desempeño Líneas de producción'!$F$3:$F$499),1)</definedName>
    <definedName name="Cuota_Mensual">OFFSET('[2]Simulador UVA'!$K$28,,,COUNT('[2]Simulador UVA'!$K$28:$K$387),1)</definedName>
    <definedName name="Defectuosos" localSheetId="8">OFFSET('[1]Desempeño Líneas de producción'!$E$3,1,0,COUNT('[1]Desempeño Líneas de producción'!$E$3:$E$499),1)</definedName>
    <definedName name="Defectuosos">OFFSET('Desempeño Líneas de producción'!$E$3,1,0,COUNT('Desempeño Líneas de producción'!$E$3:$E$499),1)</definedName>
    <definedName name="Linea" localSheetId="8">OFFSET('[1]Desempeño Líneas de producción'!$B$3,1,0,COUNT('[1]Desempeño Líneas de producción'!$B$3:$B$499),1)</definedName>
    <definedName name="Linea">OFFSET('Desempeño Líneas de producción'!$B$3,1,0,COUNT('Desempeño Líneas de producción'!$B$3:$B$499),1)</definedName>
    <definedName name="Número_Cuotas">OFFSET('[2]Simulador UVA'!$A$28,,,COUNT('[2]Simulador UVA'!$A$28:$A$387),1)</definedName>
    <definedName name="Objetivo" localSheetId="8">OFFSET('[1]Desempeño Líneas de producción'!$C$3,1,0,COUNT('[1]Desempeño Líneas de producción'!$C$3:$C$499),1)</definedName>
    <definedName name="Objetivo">OFFSET('Desempeño Líneas de producción'!$C$3,1,0,COUNT('Desempeño Líneas de producción'!$C$3:$C$499),1)</definedName>
    <definedName name="Producidos" localSheetId="8">OFFSET('[1]Desempeño Líneas de producción'!$D$3,1,0,COUNT('[1]Desempeño Líneas de producción'!$D$3:$D$499),1)</definedName>
    <definedName name="Producidos">OFFSET('Desempeño Líneas de producción'!$D$3,1,0,COUNT('Desempeño Líneas de producción'!$D$3:$D$499),1)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 i="42" l="1"/>
  <c r="K10" i="42"/>
  <c r="L10" i="42"/>
  <c r="P10" i="42" s="1"/>
  <c r="G10" i="42"/>
  <c r="F10" i="42"/>
  <c r="H10" i="42"/>
  <c r="N10" i="42"/>
  <c r="Q10" i="42" s="1"/>
  <c r="O8" i="42"/>
  <c r="K8" i="42"/>
  <c r="L8" i="42" s="1"/>
  <c r="P8" i="42" s="1"/>
  <c r="G8" i="42"/>
  <c r="F8" i="42"/>
  <c r="H8" i="42"/>
  <c r="N8" i="42" s="1"/>
  <c r="Q8" i="42" s="1"/>
  <c r="O6" i="42"/>
  <c r="K6" i="42"/>
  <c r="L6" i="42" s="1"/>
  <c r="P6" i="42" s="1"/>
  <c r="F6" i="42"/>
  <c r="H6" i="42"/>
  <c r="N6" i="42" s="1"/>
  <c r="Q6" i="42" s="1"/>
  <c r="G6" i="42"/>
  <c r="E7" i="25"/>
  <c r="D19" i="17"/>
  <c r="I15" i="36"/>
  <c r="I16" i="36"/>
  <c r="I17" i="36"/>
  <c r="I14" i="36"/>
  <c r="D9" i="36"/>
  <c r="G17" i="36"/>
  <c r="G9" i="35"/>
  <c r="G10" i="35"/>
  <c r="G11" i="35"/>
  <c r="G8" i="35"/>
  <c r="H11" i="35"/>
  <c r="H14" i="35" s="1"/>
  <c r="H10" i="35"/>
  <c r="G14" i="35" s="1"/>
  <c r="H9" i="35"/>
  <c r="F14" i="35" s="1"/>
  <c r="H13" i="35"/>
  <c r="G13" i="35"/>
  <c r="F13" i="35"/>
  <c r="E13" i="35"/>
  <c r="H8" i="35"/>
  <c r="E14" i="35" s="1"/>
  <c r="G11" i="34"/>
  <c r="G12" i="34"/>
  <c r="G13" i="34"/>
  <c r="G14" i="34"/>
  <c r="G15" i="34"/>
  <c r="G10" i="34"/>
  <c r="G14" i="36"/>
  <c r="M14" i="36"/>
  <c r="G15" i="36"/>
  <c r="M15" i="36"/>
  <c r="G16" i="36"/>
  <c r="M16" i="36" s="1"/>
  <c r="I63" i="31"/>
  <c r="H57" i="31"/>
  <c r="H58" i="31"/>
  <c r="H59" i="31"/>
  <c r="H60" i="31"/>
  <c r="H61" i="31"/>
  <c r="H62" i="31"/>
  <c r="E62" i="31"/>
  <c r="G62" i="31"/>
  <c r="E61" i="31"/>
  <c r="G61" i="31" s="1"/>
  <c r="E60" i="31"/>
  <c r="G60" i="31"/>
  <c r="L59" i="31"/>
  <c r="E59" i="31"/>
  <c r="G59" i="31"/>
  <c r="E58" i="31"/>
  <c r="G58" i="31"/>
  <c r="E57" i="31"/>
  <c r="G57" i="31"/>
  <c r="L57" i="31"/>
  <c r="I52" i="31"/>
  <c r="H51" i="31"/>
  <c r="E51" i="31"/>
  <c r="G51" i="31" s="1"/>
  <c r="H50" i="31"/>
  <c r="E50" i="31"/>
  <c r="G50" i="31"/>
  <c r="H49" i="31"/>
  <c r="E49" i="31"/>
  <c r="G49" i="31" s="1"/>
  <c r="L48" i="31"/>
  <c r="H48" i="31"/>
  <c r="E48" i="31"/>
  <c r="G48" i="31" s="1"/>
  <c r="H47" i="31"/>
  <c r="H52" i="31" s="1"/>
  <c r="L50" i="31" s="1"/>
  <c r="E47" i="31"/>
  <c r="G47" i="31" s="1"/>
  <c r="H46" i="31"/>
  <c r="E46" i="31"/>
  <c r="G46" i="31" s="1"/>
  <c r="H41" i="31"/>
  <c r="I36" i="31" s="1"/>
  <c r="E41" i="31"/>
  <c r="G41" i="31" s="1"/>
  <c r="H40" i="31"/>
  <c r="E40" i="31"/>
  <c r="G40" i="31" s="1"/>
  <c r="L36" i="31" s="1"/>
  <c r="H39" i="31"/>
  <c r="E39" i="31"/>
  <c r="G39" i="31"/>
  <c r="L38" i="31"/>
  <c r="H38" i="31"/>
  <c r="E38" i="31"/>
  <c r="G38" i="31"/>
  <c r="H37" i="31"/>
  <c r="H36" i="31"/>
  <c r="H42" i="31" s="1"/>
  <c r="E37" i="31"/>
  <c r="G37" i="31"/>
  <c r="E36" i="31"/>
  <c r="G36" i="31" s="1"/>
  <c r="E9" i="31"/>
  <c r="E8" i="31"/>
  <c r="E7" i="31"/>
  <c r="E6" i="31"/>
  <c r="E5" i="31"/>
  <c r="E4" i="31"/>
  <c r="E40" i="30"/>
  <c r="G40" i="30"/>
  <c r="J35" i="30"/>
  <c r="I35" i="30"/>
  <c r="K35" i="30"/>
  <c r="J34" i="30"/>
  <c r="I34" i="30"/>
  <c r="K34" i="30"/>
  <c r="J33" i="30"/>
  <c r="K33" i="30" s="1"/>
  <c r="K36" i="30" s="1"/>
  <c r="C37" i="30" s="1"/>
  <c r="I40" i="30" s="1"/>
  <c r="H33" i="30"/>
  <c r="I33" i="30" s="1"/>
  <c r="G27" i="30"/>
  <c r="F27" i="30"/>
  <c r="F13" i="30"/>
  <c r="H13" i="30" s="1"/>
  <c r="K13" i="30" s="1"/>
  <c r="F10" i="30"/>
  <c r="J10" i="30" s="1"/>
  <c r="H10" i="30"/>
  <c r="K10" i="30" s="1"/>
  <c r="J13" i="30"/>
  <c r="H40" i="30"/>
  <c r="B44" i="29"/>
  <c r="B43" i="29"/>
  <c r="D43" i="29"/>
  <c r="B34" i="29"/>
  <c r="F26" i="29"/>
  <c r="F25" i="29"/>
  <c r="F24" i="29"/>
  <c r="F23" i="29"/>
  <c r="F22" i="29"/>
  <c r="E16" i="29"/>
  <c r="E15" i="29"/>
  <c r="E14" i="29"/>
  <c r="E13" i="29"/>
  <c r="F32" i="28"/>
  <c r="E32" i="28"/>
  <c r="D32" i="28"/>
  <c r="C32" i="28"/>
  <c r="B32" i="28"/>
  <c r="F31" i="28"/>
  <c r="E31" i="28"/>
  <c r="D31" i="28"/>
  <c r="C31" i="28"/>
  <c r="J31" i="28" s="1"/>
  <c r="B31" i="28"/>
  <c r="F30" i="28"/>
  <c r="E30" i="28"/>
  <c r="D30" i="28"/>
  <c r="C30" i="28"/>
  <c r="B30" i="28"/>
  <c r="F29" i="28"/>
  <c r="E29" i="28"/>
  <c r="D29" i="28"/>
  <c r="C29" i="28"/>
  <c r="B29" i="28"/>
  <c r="F28" i="28"/>
  <c r="E28" i="28"/>
  <c r="D28" i="28"/>
  <c r="C28" i="28"/>
  <c r="B28" i="28"/>
  <c r="F27" i="28"/>
  <c r="E27" i="28"/>
  <c r="D27" i="28"/>
  <c r="C27" i="28"/>
  <c r="B27" i="28"/>
  <c r="G27" i="28" s="1"/>
  <c r="F26" i="28"/>
  <c r="E26" i="28"/>
  <c r="D26" i="28"/>
  <c r="C26" i="28"/>
  <c r="B26" i="28"/>
  <c r="F25" i="28"/>
  <c r="E25" i="28"/>
  <c r="D25" i="28"/>
  <c r="C25" i="28"/>
  <c r="B25" i="28"/>
  <c r="F24" i="28"/>
  <c r="E24" i="28"/>
  <c r="D24" i="28"/>
  <c r="C24" i="28"/>
  <c r="B24" i="28"/>
  <c r="F23" i="28"/>
  <c r="E23" i="28"/>
  <c r="D23" i="28"/>
  <c r="C23" i="28"/>
  <c r="B23" i="28"/>
  <c r="F22" i="28"/>
  <c r="E22" i="28"/>
  <c r="D22" i="28"/>
  <c r="C22" i="28"/>
  <c r="B22" i="28"/>
  <c r="F21" i="28"/>
  <c r="E21" i="28"/>
  <c r="D21" i="28"/>
  <c r="C21" i="28"/>
  <c r="B21" i="28"/>
  <c r="F20" i="28"/>
  <c r="E20" i="28"/>
  <c r="D20" i="28"/>
  <c r="C20" i="28"/>
  <c r="B20" i="28"/>
  <c r="G20" i="28" s="1"/>
  <c r="F19" i="28"/>
  <c r="E19" i="28"/>
  <c r="D19" i="28"/>
  <c r="C19" i="28"/>
  <c r="B19" i="28"/>
  <c r="F18" i="28"/>
  <c r="E18" i="28"/>
  <c r="D18" i="28"/>
  <c r="C18" i="28"/>
  <c r="B18" i="28"/>
  <c r="F17" i="28"/>
  <c r="E17" i="28"/>
  <c r="D17" i="28"/>
  <c r="C17" i="28"/>
  <c r="B17" i="28"/>
  <c r="G17" i="28" s="1"/>
  <c r="F16" i="28"/>
  <c r="E16" i="28"/>
  <c r="D16" i="28"/>
  <c r="C16" i="28"/>
  <c r="B16" i="28"/>
  <c r="F15" i="28"/>
  <c r="E15" i="28"/>
  <c r="D15" i="28"/>
  <c r="C15" i="28"/>
  <c r="B15" i="28"/>
  <c r="F14" i="28"/>
  <c r="E14" i="28"/>
  <c r="D14" i="28"/>
  <c r="C14" i="28"/>
  <c r="B14" i="28"/>
  <c r="F13" i="28"/>
  <c r="E13" i="28"/>
  <c r="D13" i="28"/>
  <c r="C13" i="28"/>
  <c r="B13" i="28"/>
  <c r="F12" i="28"/>
  <c r="E12" i="28"/>
  <c r="D12" i="28"/>
  <c r="C12" i="28"/>
  <c r="B12" i="28"/>
  <c r="J12" i="28" s="1"/>
  <c r="F11" i="28"/>
  <c r="E11" i="28"/>
  <c r="D11" i="28"/>
  <c r="C11" i="28"/>
  <c r="B11" i="28"/>
  <c r="F10" i="28"/>
  <c r="E10" i="28"/>
  <c r="D10" i="28"/>
  <c r="C10" i="28"/>
  <c r="B10" i="28"/>
  <c r="F9" i="28"/>
  <c r="E9" i="28"/>
  <c r="D9" i="28"/>
  <c r="C9" i="28"/>
  <c r="B9" i="28"/>
  <c r="F8" i="28"/>
  <c r="E8" i="28"/>
  <c r="D8" i="28"/>
  <c r="C8" i="28"/>
  <c r="B8" i="28"/>
  <c r="F7" i="28"/>
  <c r="E7" i="28"/>
  <c r="D7" i="28"/>
  <c r="C7" i="28"/>
  <c r="B7" i="28"/>
  <c r="F6" i="28"/>
  <c r="E6" i="28"/>
  <c r="D6" i="28"/>
  <c r="C6" i="28"/>
  <c r="B6" i="28"/>
  <c r="F5" i="28"/>
  <c r="E5" i="28"/>
  <c r="D5" i="28"/>
  <c r="C5" i="28"/>
  <c r="B5" i="28"/>
  <c r="F4" i="28"/>
  <c r="E4" i="28"/>
  <c r="D4" i="28"/>
  <c r="C4" i="28"/>
  <c r="B4" i="28"/>
  <c r="F3" i="28"/>
  <c r="E3" i="28"/>
  <c r="D3" i="28"/>
  <c r="C3" i="28"/>
  <c r="B3" i="28"/>
  <c r="G48" i="27"/>
  <c r="K48" i="27" s="1"/>
  <c r="D48" i="27"/>
  <c r="G47" i="27"/>
  <c r="K47" i="27" s="1"/>
  <c r="D47" i="27"/>
  <c r="G46" i="27"/>
  <c r="D46" i="27"/>
  <c r="G45" i="27"/>
  <c r="K45" i="27" s="1"/>
  <c r="D45" i="27"/>
  <c r="G44" i="27"/>
  <c r="K44" i="27" s="1"/>
  <c r="D44" i="27"/>
  <c r="G43" i="27"/>
  <c r="K43" i="27" s="1"/>
  <c r="D43" i="27"/>
  <c r="I44" i="27"/>
  <c r="I47" i="27"/>
  <c r="I48" i="27"/>
  <c r="C20" i="25"/>
  <c r="E16" i="25" s="1"/>
  <c r="E19" i="25"/>
  <c r="E18" i="25"/>
  <c r="K182" i="21"/>
  <c r="J182" i="21"/>
  <c r="I182" i="21"/>
  <c r="H182" i="21"/>
  <c r="G182" i="21"/>
  <c r="F182" i="21"/>
  <c r="E182" i="21"/>
  <c r="D182" i="21"/>
  <c r="C182" i="21"/>
  <c r="L181" i="21"/>
  <c r="J181" i="21"/>
  <c r="I181" i="21"/>
  <c r="H181" i="21"/>
  <c r="G181" i="21"/>
  <c r="F181" i="21"/>
  <c r="E181" i="21"/>
  <c r="D181" i="21"/>
  <c r="C181" i="21"/>
  <c r="L180" i="21"/>
  <c r="K180" i="21"/>
  <c r="I180" i="21"/>
  <c r="H180" i="21"/>
  <c r="G180" i="21"/>
  <c r="F180" i="21"/>
  <c r="E180" i="21"/>
  <c r="D180" i="21"/>
  <c r="C180" i="21"/>
  <c r="L179" i="21"/>
  <c r="K179" i="21"/>
  <c r="J179" i="21"/>
  <c r="H179" i="21"/>
  <c r="G179" i="21"/>
  <c r="E179" i="21"/>
  <c r="C179" i="21"/>
  <c r="L178" i="21"/>
  <c r="K178" i="21"/>
  <c r="J178" i="21"/>
  <c r="I178" i="21"/>
  <c r="G178" i="21"/>
  <c r="F178" i="21"/>
  <c r="E178" i="21"/>
  <c r="D178" i="21"/>
  <c r="C178" i="21"/>
  <c r="L177" i="21"/>
  <c r="K177" i="21"/>
  <c r="J177" i="21"/>
  <c r="I177" i="21"/>
  <c r="H177" i="21"/>
  <c r="F177" i="21"/>
  <c r="E177" i="21"/>
  <c r="D177" i="21"/>
  <c r="C177" i="21"/>
  <c r="L176" i="21"/>
  <c r="K176" i="21"/>
  <c r="J176" i="21"/>
  <c r="I176" i="21"/>
  <c r="H176" i="21"/>
  <c r="G176" i="21"/>
  <c r="E176" i="21"/>
  <c r="D176" i="21"/>
  <c r="C176" i="21"/>
  <c r="L175" i="21"/>
  <c r="K175" i="21"/>
  <c r="J175" i="21"/>
  <c r="I175" i="21"/>
  <c r="H175" i="21"/>
  <c r="G175" i="21"/>
  <c r="F175" i="21"/>
  <c r="D175" i="21"/>
  <c r="C175" i="21"/>
  <c r="L174" i="21"/>
  <c r="K174" i="21"/>
  <c r="J174" i="21"/>
  <c r="I174" i="21"/>
  <c r="H174" i="21"/>
  <c r="G174" i="21"/>
  <c r="F174" i="21"/>
  <c r="E174" i="21"/>
  <c r="C174" i="21"/>
  <c r="L173" i="21"/>
  <c r="K173" i="21"/>
  <c r="J173" i="21"/>
  <c r="I173" i="21"/>
  <c r="H173" i="21"/>
  <c r="G173" i="21"/>
  <c r="F173" i="21"/>
  <c r="E173" i="21"/>
  <c r="D173" i="21"/>
  <c r="G166" i="21"/>
  <c r="F166" i="21"/>
  <c r="E166" i="21"/>
  <c r="D166" i="21"/>
  <c r="C166" i="21"/>
  <c r="H165" i="21"/>
  <c r="F165" i="21"/>
  <c r="E165" i="21"/>
  <c r="D165" i="21"/>
  <c r="C165" i="21"/>
  <c r="H164" i="21"/>
  <c r="G164" i="21"/>
  <c r="E164" i="21"/>
  <c r="D164" i="21"/>
  <c r="C164" i="21"/>
  <c r="H163" i="21"/>
  <c r="G163" i="21"/>
  <c r="F163" i="21"/>
  <c r="D163" i="21"/>
  <c r="C163" i="21"/>
  <c r="H162" i="21"/>
  <c r="G162" i="21"/>
  <c r="F162" i="21"/>
  <c r="E162" i="21"/>
  <c r="C162" i="21"/>
  <c r="H161" i="21"/>
  <c r="G161" i="21"/>
  <c r="F161" i="21"/>
  <c r="E161" i="21"/>
  <c r="D161" i="21"/>
  <c r="F153" i="21"/>
  <c r="E153" i="21"/>
  <c r="D153" i="21"/>
  <c r="C153" i="21"/>
  <c r="G152" i="21"/>
  <c r="E152" i="21"/>
  <c r="D152" i="21"/>
  <c r="C152" i="21"/>
  <c r="G151" i="21"/>
  <c r="F151" i="21"/>
  <c r="D151" i="21"/>
  <c r="C151" i="21"/>
  <c r="G150" i="21"/>
  <c r="F150" i="21"/>
  <c r="E150" i="21"/>
  <c r="C150" i="21"/>
  <c r="G149" i="21"/>
  <c r="F149" i="21"/>
  <c r="E149" i="21"/>
  <c r="D149" i="21"/>
  <c r="F143" i="21"/>
  <c r="E143" i="21"/>
  <c r="D143" i="21"/>
  <c r="C143" i="21"/>
  <c r="G142" i="21"/>
  <c r="E142" i="21"/>
  <c r="D142" i="21"/>
  <c r="C142" i="21"/>
  <c r="G141" i="21"/>
  <c r="F141" i="21"/>
  <c r="D141" i="21"/>
  <c r="C141" i="21"/>
  <c r="G140" i="21"/>
  <c r="F140" i="21"/>
  <c r="E140" i="21"/>
  <c r="C140" i="21"/>
  <c r="G139" i="21"/>
  <c r="F139" i="21"/>
  <c r="E139" i="21"/>
  <c r="D139" i="21"/>
  <c r="C132" i="21"/>
  <c r="D131" i="21"/>
  <c r="E124" i="21"/>
  <c r="D124" i="21"/>
  <c r="C124" i="21"/>
  <c r="F123" i="21"/>
  <c r="D123" i="21"/>
  <c r="C123" i="21"/>
  <c r="F122" i="21"/>
  <c r="E122" i="21"/>
  <c r="C122" i="21"/>
  <c r="F121" i="21"/>
  <c r="E121" i="21"/>
  <c r="D121" i="21"/>
  <c r="G114" i="21"/>
  <c r="F114" i="21"/>
  <c r="E114" i="21"/>
  <c r="D114" i="21"/>
  <c r="C114" i="21"/>
  <c r="H113" i="21"/>
  <c r="F113" i="21"/>
  <c r="E113" i="21"/>
  <c r="D113" i="21"/>
  <c r="C113" i="21"/>
  <c r="G112" i="21"/>
  <c r="H112" i="21"/>
  <c r="E112" i="21"/>
  <c r="D112" i="21"/>
  <c r="C112" i="21"/>
  <c r="H111" i="21"/>
  <c r="G111" i="21"/>
  <c r="F111" i="21"/>
  <c r="D111" i="21"/>
  <c r="C111" i="21"/>
  <c r="H110" i="21"/>
  <c r="G110" i="21"/>
  <c r="F110" i="21"/>
  <c r="E110" i="21"/>
  <c r="C110" i="21"/>
  <c r="H109" i="21"/>
  <c r="G109" i="21"/>
  <c r="F109" i="21"/>
  <c r="E109" i="21"/>
  <c r="D109" i="21"/>
  <c r="E102" i="21"/>
  <c r="D102" i="21"/>
  <c r="C102" i="21"/>
  <c r="F101" i="21"/>
  <c r="D101" i="21"/>
  <c r="C101" i="21"/>
  <c r="F100" i="21"/>
  <c r="E100" i="21"/>
  <c r="C100" i="21"/>
  <c r="F99" i="21"/>
  <c r="E99" i="21"/>
  <c r="D99" i="21"/>
  <c r="D92" i="21"/>
  <c r="C92" i="21"/>
  <c r="E91" i="21"/>
  <c r="C91" i="21"/>
  <c r="E90" i="21"/>
  <c r="D90" i="21"/>
  <c r="G83" i="21"/>
  <c r="F83" i="21"/>
  <c r="E83" i="21"/>
  <c r="D83" i="21"/>
  <c r="C83" i="21"/>
  <c r="H82" i="21"/>
  <c r="F82" i="21"/>
  <c r="E82" i="21"/>
  <c r="D82" i="21"/>
  <c r="C82" i="21"/>
  <c r="H81" i="21"/>
  <c r="G81" i="21"/>
  <c r="E81" i="21"/>
  <c r="D81" i="21"/>
  <c r="C81" i="21"/>
  <c r="H80" i="21"/>
  <c r="G80" i="21"/>
  <c r="F80" i="21"/>
  <c r="D80" i="21"/>
  <c r="C80" i="21"/>
  <c r="H79" i="21"/>
  <c r="G79" i="21"/>
  <c r="F79" i="21"/>
  <c r="E79" i="21"/>
  <c r="C79" i="21"/>
  <c r="H78" i="21"/>
  <c r="G78" i="21"/>
  <c r="F78" i="21"/>
  <c r="E78" i="21"/>
  <c r="D78" i="21"/>
  <c r="E71" i="21"/>
  <c r="D71" i="21"/>
  <c r="C71" i="21"/>
  <c r="F70" i="21"/>
  <c r="D70" i="21"/>
  <c r="C70" i="21"/>
  <c r="F69" i="21"/>
  <c r="E69" i="21"/>
  <c r="C69" i="21"/>
  <c r="F68" i="21"/>
  <c r="E68" i="21"/>
  <c r="D68" i="21"/>
  <c r="G61" i="21"/>
  <c r="F61" i="21"/>
  <c r="E61" i="21"/>
  <c r="D61" i="21"/>
  <c r="C61" i="21"/>
  <c r="H60" i="21"/>
  <c r="F60" i="21"/>
  <c r="E60" i="21"/>
  <c r="D60" i="21"/>
  <c r="C60" i="21"/>
  <c r="H59" i="21"/>
  <c r="G59" i="21"/>
  <c r="E59" i="21"/>
  <c r="D59" i="21"/>
  <c r="C59" i="21"/>
  <c r="H58" i="21"/>
  <c r="G58" i="21"/>
  <c r="F58" i="21"/>
  <c r="D58" i="21"/>
  <c r="C58" i="21"/>
  <c r="H57" i="21"/>
  <c r="G57" i="21"/>
  <c r="F57" i="21"/>
  <c r="E57" i="21"/>
  <c r="C57" i="21"/>
  <c r="H56" i="21"/>
  <c r="G56" i="21"/>
  <c r="F56" i="21"/>
  <c r="E56" i="21"/>
  <c r="D56" i="21"/>
  <c r="D49" i="21"/>
  <c r="C49" i="21"/>
  <c r="E48" i="21"/>
  <c r="C48" i="21"/>
  <c r="E47" i="21"/>
  <c r="D47" i="21"/>
  <c r="E40" i="21"/>
  <c r="D40" i="21"/>
  <c r="C40" i="21"/>
  <c r="F39" i="21"/>
  <c r="D39" i="21"/>
  <c r="C39" i="21"/>
  <c r="F38" i="21"/>
  <c r="E38" i="21"/>
  <c r="C38" i="21"/>
  <c r="F37" i="21"/>
  <c r="E37" i="21"/>
  <c r="D37" i="21"/>
  <c r="E30" i="21"/>
  <c r="C30" i="21"/>
  <c r="D30" i="21"/>
  <c r="F29" i="21"/>
  <c r="C29" i="21"/>
  <c r="D29" i="21" s="1"/>
  <c r="F28" i="21"/>
  <c r="C28" i="21"/>
  <c r="E28" i="21" s="1"/>
  <c r="D27" i="21"/>
  <c r="F27" i="21" s="1"/>
  <c r="E27" i="21"/>
  <c r="H19" i="21"/>
  <c r="G19" i="21"/>
  <c r="F19" i="21"/>
  <c r="E19" i="21"/>
  <c r="D19" i="21"/>
  <c r="C19" i="21"/>
  <c r="I18" i="21"/>
  <c r="G18" i="21"/>
  <c r="F18" i="21"/>
  <c r="E18" i="21"/>
  <c r="D18" i="21"/>
  <c r="C18" i="21"/>
  <c r="I17" i="21"/>
  <c r="H17" i="21"/>
  <c r="F17" i="21"/>
  <c r="E17" i="21"/>
  <c r="D17" i="21"/>
  <c r="C17" i="21"/>
  <c r="I16" i="21"/>
  <c r="H16" i="21"/>
  <c r="G16" i="21"/>
  <c r="E16" i="21"/>
  <c r="D16" i="21"/>
  <c r="C16" i="21"/>
  <c r="I15" i="21"/>
  <c r="H15" i="21"/>
  <c r="G15" i="21"/>
  <c r="F15" i="21"/>
  <c r="D15" i="21"/>
  <c r="C15" i="21"/>
  <c r="I14" i="21"/>
  <c r="H14" i="21"/>
  <c r="G14" i="21"/>
  <c r="F14" i="21"/>
  <c r="E14" i="21"/>
  <c r="C14" i="21"/>
  <c r="I13" i="21"/>
  <c r="H13" i="21"/>
  <c r="G13" i="21"/>
  <c r="F13" i="21"/>
  <c r="D13" i="21"/>
  <c r="E13" i="21" s="1"/>
  <c r="M20" i="20"/>
  <c r="H20" i="20"/>
  <c r="M19" i="20"/>
  <c r="H19" i="20"/>
  <c r="M18" i="20"/>
  <c r="H18" i="20"/>
  <c r="M17" i="20"/>
  <c r="H17" i="20"/>
  <c r="M16" i="20"/>
  <c r="H16" i="20"/>
  <c r="M15" i="20"/>
  <c r="H15" i="20"/>
  <c r="M14" i="20"/>
  <c r="H14" i="20"/>
  <c r="M13" i="20"/>
  <c r="H13" i="20"/>
  <c r="M12" i="20"/>
  <c r="H12" i="20"/>
  <c r="M11" i="20"/>
  <c r="H11" i="20"/>
  <c r="M10" i="20"/>
  <c r="H10" i="20"/>
  <c r="M9" i="20"/>
  <c r="N6" i="20" s="1"/>
  <c r="O6" i="20" s="1"/>
  <c r="H9" i="20"/>
  <c r="M8" i="20"/>
  <c r="H8" i="20"/>
  <c r="M7" i="20"/>
  <c r="H7" i="20"/>
  <c r="M6" i="20"/>
  <c r="C33" i="20" s="1"/>
  <c r="C27" i="20"/>
  <c r="H6" i="20"/>
  <c r="N7" i="20"/>
  <c r="O7" i="20" s="1"/>
  <c r="N16" i="20"/>
  <c r="N13" i="20"/>
  <c r="C15" i="19"/>
  <c r="D15" i="19"/>
  <c r="E15" i="19"/>
  <c r="F15" i="19"/>
  <c r="G15" i="19"/>
  <c r="C16" i="19"/>
  <c r="D16" i="19"/>
  <c r="E16" i="19"/>
  <c r="F16" i="19"/>
  <c r="G16" i="19"/>
  <c r="C17" i="19"/>
  <c r="D17" i="19"/>
  <c r="E17" i="19"/>
  <c r="F17" i="19"/>
  <c r="G17" i="19"/>
  <c r="G32" i="18"/>
  <c r="F32" i="18"/>
  <c r="H32" i="18"/>
  <c r="F31" i="18"/>
  <c r="H31" i="18"/>
  <c r="G31" i="18"/>
  <c r="F30" i="18"/>
  <c r="H30" i="18"/>
  <c r="G30" i="18"/>
  <c r="G29" i="18"/>
  <c r="F29" i="18"/>
  <c r="H29" i="18" s="1"/>
  <c r="G28" i="18"/>
  <c r="F28" i="18"/>
  <c r="H28" i="18" s="1"/>
  <c r="F27" i="18"/>
  <c r="H27" i="18"/>
  <c r="G27" i="18"/>
  <c r="F26" i="18"/>
  <c r="H26" i="18" s="1"/>
  <c r="G26" i="18"/>
  <c r="G25" i="18"/>
  <c r="F25" i="18"/>
  <c r="H25" i="18"/>
  <c r="G24" i="18"/>
  <c r="F24" i="18"/>
  <c r="H24" i="18"/>
  <c r="F23" i="18"/>
  <c r="H23" i="18"/>
  <c r="G23" i="18"/>
  <c r="F22" i="18"/>
  <c r="H22" i="18"/>
  <c r="G22" i="18"/>
  <c r="G21" i="18"/>
  <c r="F21" i="18"/>
  <c r="H21" i="18" s="1"/>
  <c r="G20" i="18"/>
  <c r="F20" i="18"/>
  <c r="H20" i="18" s="1"/>
  <c r="F19" i="18"/>
  <c r="H19" i="18" s="1"/>
  <c r="G19" i="18"/>
  <c r="F18" i="18"/>
  <c r="H18" i="18" s="1"/>
  <c r="G18" i="18"/>
  <c r="G17" i="18"/>
  <c r="F17" i="18"/>
  <c r="H17" i="18"/>
  <c r="G16" i="18"/>
  <c r="F16" i="18"/>
  <c r="H16" i="18" s="1"/>
  <c r="F15" i="18"/>
  <c r="H15" i="18"/>
  <c r="G15" i="18"/>
  <c r="F14" i="18"/>
  <c r="H14" i="18"/>
  <c r="G14" i="18"/>
  <c r="G13" i="18"/>
  <c r="F13" i="18"/>
  <c r="H13" i="18" s="1"/>
  <c r="G12" i="18"/>
  <c r="F12" i="18"/>
  <c r="H12" i="18" s="1"/>
  <c r="F11" i="18"/>
  <c r="H11" i="18" s="1"/>
  <c r="G11" i="18"/>
  <c r="F10" i="18"/>
  <c r="H10" i="18" s="1"/>
  <c r="G10" i="18"/>
  <c r="F9" i="18"/>
  <c r="H9" i="18" s="1"/>
  <c r="F8" i="18"/>
  <c r="G8" i="18" s="1"/>
  <c r="H8" i="18"/>
  <c r="F7" i="18"/>
  <c r="F6" i="18"/>
  <c r="G6" i="18" s="1"/>
  <c r="H6" i="18"/>
  <c r="F5" i="18"/>
  <c r="F4" i="18"/>
  <c r="G4" i="18" s="1"/>
  <c r="H4" i="18"/>
  <c r="G9" i="18"/>
  <c r="K30" i="17"/>
  <c r="D26" i="17"/>
  <c r="D25" i="17"/>
  <c r="F16" i="17"/>
  <c r="F15" i="17"/>
  <c r="F14" i="17"/>
  <c r="F13" i="17"/>
  <c r="F12" i="17"/>
  <c r="F11" i="17"/>
  <c r="F10" i="17"/>
  <c r="D17" i="17" s="1"/>
  <c r="F9" i="17"/>
  <c r="F8" i="17"/>
  <c r="F7" i="17"/>
  <c r="F6" i="17"/>
  <c r="G2" i="16"/>
  <c r="E6" i="16" s="1"/>
  <c r="G4" i="16"/>
  <c r="N16" i="15"/>
  <c r="N24" i="15" s="1"/>
  <c r="N18" i="15"/>
  <c r="N20" i="15" s="1"/>
  <c r="N22" i="15" s="1"/>
  <c r="N19" i="15"/>
  <c r="F16" i="15"/>
  <c r="F18" i="15"/>
  <c r="F19" i="15"/>
  <c r="G19" i="15" s="1"/>
  <c r="L19" i="15"/>
  <c r="L16" i="15"/>
  <c r="J19" i="15"/>
  <c r="K19" i="15" s="1"/>
  <c r="H19" i="15"/>
  <c r="H24" i="15" s="1"/>
  <c r="D19" i="15"/>
  <c r="D16" i="15"/>
  <c r="D20" i="15" s="1"/>
  <c r="E19" i="15"/>
  <c r="L18" i="15"/>
  <c r="L20" i="15" s="1"/>
  <c r="J16" i="15"/>
  <c r="J18" i="15"/>
  <c r="J20" i="15"/>
  <c r="H18" i="15"/>
  <c r="D18" i="15"/>
  <c r="D24" i="15" s="1"/>
  <c r="E18" i="15"/>
  <c r="H16" i="15"/>
  <c r="N14" i="15"/>
  <c r="L14" i="15"/>
  <c r="J14" i="15"/>
  <c r="H14" i="15"/>
  <c r="F14" i="15"/>
  <c r="D14" i="15"/>
  <c r="I18" i="15"/>
  <c r="G18" i="15"/>
  <c r="L19" i="14"/>
  <c r="J19" i="14"/>
  <c r="L18" i="14"/>
  <c r="J18" i="14"/>
  <c r="L17" i="14"/>
  <c r="J17" i="14"/>
  <c r="L16" i="14"/>
  <c r="J16" i="14"/>
  <c r="L15" i="14"/>
  <c r="J15" i="14"/>
  <c r="L14" i="14"/>
  <c r="J14" i="14"/>
  <c r="L13" i="14"/>
  <c r="J13" i="14"/>
  <c r="L12" i="14"/>
  <c r="J12" i="14"/>
  <c r="L11" i="14"/>
  <c r="J11" i="14"/>
  <c r="L10" i="14"/>
  <c r="J10" i="14"/>
  <c r="L9" i="14"/>
  <c r="J9" i="14"/>
  <c r="L8" i="14"/>
  <c r="J8" i="14"/>
  <c r="L7" i="14"/>
  <c r="J7" i="14"/>
  <c r="L6" i="14"/>
  <c r="J6" i="14"/>
  <c r="H5" i="14"/>
  <c r="G6" i="14"/>
  <c r="H6" i="14"/>
  <c r="G7" i="14" s="1"/>
  <c r="H7" i="14" s="1"/>
  <c r="G8" i="14" s="1"/>
  <c r="H8" i="14" s="1"/>
  <c r="G9" i="14" s="1"/>
  <c r="H9" i="14" s="1"/>
  <c r="G10" i="14" s="1"/>
  <c r="H10" i="14" s="1"/>
  <c r="G11" i="14" s="1"/>
  <c r="H11" i="14" s="1"/>
  <c r="G12" i="14" s="1"/>
  <c r="H12" i="14" s="1"/>
  <c r="G13" i="14" s="1"/>
  <c r="H13" i="14" s="1"/>
  <c r="G14" i="14" s="1"/>
  <c r="H14" i="14" s="1"/>
  <c r="G15" i="14" s="1"/>
  <c r="H15" i="14" s="1"/>
  <c r="G16" i="14" s="1"/>
  <c r="H16" i="14" s="1"/>
  <c r="G17" i="14" s="1"/>
  <c r="H17" i="14" s="1"/>
  <c r="G18" i="14" s="1"/>
  <c r="H18" i="14" s="1"/>
  <c r="G19" i="14" s="1"/>
  <c r="H19" i="14" s="1"/>
  <c r="L5" i="14"/>
  <c r="J5" i="14"/>
  <c r="N21" i="13"/>
  <c r="M21" i="13"/>
  <c r="L21" i="13"/>
  <c r="K21" i="13"/>
  <c r="J21" i="13"/>
  <c r="J27" i="13" s="1"/>
  <c r="I21" i="13"/>
  <c r="H21" i="13"/>
  <c r="G21" i="13"/>
  <c r="F21" i="13"/>
  <c r="E21" i="13"/>
  <c r="D21" i="13"/>
  <c r="C21" i="13"/>
  <c r="N17" i="13"/>
  <c r="M17" i="13"/>
  <c r="M27" i="13" s="1"/>
  <c r="L17" i="13"/>
  <c r="K17" i="13"/>
  <c r="J17" i="13"/>
  <c r="I17" i="13"/>
  <c r="H17" i="13"/>
  <c r="G17" i="13"/>
  <c r="F17" i="13"/>
  <c r="E17" i="13"/>
  <c r="D17" i="13"/>
  <c r="C17" i="13"/>
  <c r="N15" i="13"/>
  <c r="M15" i="13"/>
  <c r="L15" i="13"/>
  <c r="K15" i="13"/>
  <c r="J15" i="13"/>
  <c r="I15" i="13"/>
  <c r="H15" i="13"/>
  <c r="G15" i="13"/>
  <c r="F15" i="13"/>
  <c r="E15" i="13"/>
  <c r="D15" i="13"/>
  <c r="C15" i="13"/>
  <c r="N11" i="13"/>
  <c r="M11" i="13"/>
  <c r="N6" i="13" s="1"/>
  <c r="L11" i="13"/>
  <c r="M6" i="13" s="1"/>
  <c r="K11" i="13"/>
  <c r="L6" i="13"/>
  <c r="J11" i="13"/>
  <c r="K6" i="13" s="1"/>
  <c r="I11" i="13"/>
  <c r="J6" i="13"/>
  <c r="H11" i="13"/>
  <c r="I6" i="13" s="1"/>
  <c r="G11" i="13"/>
  <c r="H6" i="13" s="1"/>
  <c r="F11" i="13"/>
  <c r="G6" i="13" s="1"/>
  <c r="G9" i="13" s="1"/>
  <c r="E11" i="13"/>
  <c r="F6" i="13"/>
  <c r="F9" i="13" s="1"/>
  <c r="F13" i="13" s="1"/>
  <c r="D7" i="13"/>
  <c r="E7" i="13" s="1"/>
  <c r="F7" i="13" s="1"/>
  <c r="D11" i="13"/>
  <c r="E6" i="13" s="1"/>
  <c r="E9" i="13" s="1"/>
  <c r="C11" i="13"/>
  <c r="D6" i="13" s="1"/>
  <c r="C9" i="13"/>
  <c r="C13" i="13" s="1"/>
  <c r="C19" i="13" s="1"/>
  <c r="C23" i="13" s="1"/>
  <c r="G7" i="13"/>
  <c r="H7" i="13" s="1"/>
  <c r="I7" i="13" s="1"/>
  <c r="J7" i="13" s="1"/>
  <c r="K7" i="13" s="1"/>
  <c r="L7" i="13" s="1"/>
  <c r="M7" i="13" s="1"/>
  <c r="N7" i="13" s="1"/>
  <c r="K26" i="13"/>
  <c r="C27" i="13"/>
  <c r="K27" i="13"/>
  <c r="F26" i="13"/>
  <c r="P89" i="12"/>
  <c r="O89" i="12"/>
  <c r="N89" i="12"/>
  <c r="M89" i="12"/>
  <c r="L89" i="12"/>
  <c r="K89" i="12"/>
  <c r="J89" i="12"/>
  <c r="I89" i="12"/>
  <c r="H89" i="12"/>
  <c r="G89" i="12"/>
  <c r="F89" i="12"/>
  <c r="E89" i="12"/>
  <c r="D89" i="12"/>
  <c r="C89" i="12"/>
  <c r="P88" i="12"/>
  <c r="O88" i="12"/>
  <c r="N88" i="12"/>
  <c r="M88" i="12"/>
  <c r="L88" i="12"/>
  <c r="K88" i="12"/>
  <c r="J88" i="12"/>
  <c r="I88" i="12"/>
  <c r="H88" i="12"/>
  <c r="G88" i="12"/>
  <c r="F88" i="12"/>
  <c r="E88" i="12"/>
  <c r="D88" i="12"/>
  <c r="C88" i="12"/>
  <c r="P87" i="12"/>
  <c r="O87" i="12"/>
  <c r="N87" i="12"/>
  <c r="M87" i="12"/>
  <c r="L87" i="12"/>
  <c r="K87" i="12"/>
  <c r="J87" i="12"/>
  <c r="I87" i="12"/>
  <c r="H87" i="12"/>
  <c r="G87" i="12"/>
  <c r="F87" i="12"/>
  <c r="E87" i="12"/>
  <c r="D87" i="12"/>
  <c r="C87" i="12"/>
  <c r="P86" i="12"/>
  <c r="O86" i="12"/>
  <c r="N86" i="12"/>
  <c r="M86" i="12"/>
  <c r="L86" i="12"/>
  <c r="K86" i="12"/>
  <c r="J86" i="12"/>
  <c r="I86" i="12"/>
  <c r="H86" i="12"/>
  <c r="G86" i="12"/>
  <c r="F86" i="12"/>
  <c r="E86" i="12"/>
  <c r="D86" i="12"/>
  <c r="C86" i="12"/>
  <c r="P85" i="12"/>
  <c r="O85" i="12"/>
  <c r="N85" i="12"/>
  <c r="M85" i="12"/>
  <c r="L85" i="12"/>
  <c r="K85" i="12"/>
  <c r="J85" i="12"/>
  <c r="I85" i="12"/>
  <c r="H85" i="12"/>
  <c r="G85" i="12"/>
  <c r="F85" i="12"/>
  <c r="E85" i="12"/>
  <c r="D85" i="12"/>
  <c r="C85" i="12"/>
  <c r="P84" i="12"/>
  <c r="O84" i="12"/>
  <c r="N84" i="12"/>
  <c r="M84" i="12"/>
  <c r="L84" i="12"/>
  <c r="K84" i="12"/>
  <c r="J84" i="12"/>
  <c r="I84" i="12"/>
  <c r="H84" i="12"/>
  <c r="G84" i="12"/>
  <c r="F84" i="12"/>
  <c r="E84" i="12"/>
  <c r="D84" i="12"/>
  <c r="C84" i="12"/>
  <c r="I75" i="12"/>
  <c r="I80" i="12"/>
  <c r="J75" i="12"/>
  <c r="P74" i="12"/>
  <c r="O74" i="12"/>
  <c r="N74" i="12"/>
  <c r="M74" i="12"/>
  <c r="L74" i="12"/>
  <c r="K74" i="12"/>
  <c r="J74" i="12"/>
  <c r="I74" i="12"/>
  <c r="H74" i="12"/>
  <c r="G74" i="12"/>
  <c r="F74" i="12"/>
  <c r="E74" i="12"/>
  <c r="D74" i="12"/>
  <c r="C74" i="12"/>
  <c r="F65" i="12"/>
  <c r="F70" i="12"/>
  <c r="G65" i="12" s="1"/>
  <c r="G68" i="12" s="1"/>
  <c r="G64" i="12"/>
  <c r="H64" i="12"/>
  <c r="P64" i="12"/>
  <c r="O64" i="12"/>
  <c r="N64" i="12"/>
  <c r="M64" i="12"/>
  <c r="L64" i="12"/>
  <c r="K64" i="12"/>
  <c r="J64" i="12"/>
  <c r="I64" i="12"/>
  <c r="F64" i="12"/>
  <c r="E64" i="12"/>
  <c r="D64" i="12"/>
  <c r="C64" i="12"/>
  <c r="F55" i="12"/>
  <c r="F60" i="12" s="1"/>
  <c r="G55" i="12" s="1"/>
  <c r="P54" i="12"/>
  <c r="O54" i="12"/>
  <c r="N54" i="12"/>
  <c r="M54" i="12"/>
  <c r="L54" i="12"/>
  <c r="K54" i="12"/>
  <c r="J54" i="12"/>
  <c r="I54" i="12"/>
  <c r="H54" i="12"/>
  <c r="G54" i="12"/>
  <c r="G60" i="12" s="1"/>
  <c r="H55" i="12" s="1"/>
  <c r="H60" i="12" s="1"/>
  <c r="I55" i="12" s="1"/>
  <c r="I60" i="12" s="1"/>
  <c r="J55" i="12" s="1"/>
  <c r="F54" i="12"/>
  <c r="E54" i="12"/>
  <c r="D54" i="12"/>
  <c r="C54" i="12"/>
  <c r="I45" i="12"/>
  <c r="I50" i="12"/>
  <c r="J45" i="12"/>
  <c r="J50" i="12" s="1"/>
  <c r="K45" i="12" s="1"/>
  <c r="P44" i="12"/>
  <c r="O44" i="12"/>
  <c r="N44" i="12"/>
  <c r="M44" i="12"/>
  <c r="L44" i="12"/>
  <c r="K44" i="12"/>
  <c r="J44" i="12"/>
  <c r="I44" i="12"/>
  <c r="H44" i="12"/>
  <c r="G44" i="12"/>
  <c r="F44" i="12"/>
  <c r="E44" i="12"/>
  <c r="D44" i="12"/>
  <c r="C44" i="12"/>
  <c r="J35" i="12"/>
  <c r="J34" i="12"/>
  <c r="J40" i="12"/>
  <c r="K35" i="12" s="1"/>
  <c r="K40" i="12" s="1"/>
  <c r="L35" i="12" s="1"/>
  <c r="P34" i="12"/>
  <c r="O34" i="12"/>
  <c r="N34" i="12"/>
  <c r="M34" i="12"/>
  <c r="L34" i="12"/>
  <c r="K34" i="12"/>
  <c r="I34" i="12"/>
  <c r="H34" i="12"/>
  <c r="G34" i="12"/>
  <c r="F34" i="12"/>
  <c r="E34" i="12"/>
  <c r="D34" i="12"/>
  <c r="C34" i="12"/>
  <c r="H28" i="12"/>
  <c r="I25" i="12"/>
  <c r="I30" i="12" s="1"/>
  <c r="J25" i="12" s="1"/>
  <c r="J30" i="12" s="1"/>
  <c r="K25" i="12" s="1"/>
  <c r="K30" i="12" s="1"/>
  <c r="L25" i="12" s="1"/>
  <c r="J38" i="12"/>
  <c r="G58" i="12"/>
  <c r="J28" i="12"/>
  <c r="K38" i="12"/>
  <c r="J80" i="12"/>
  <c r="K75" i="12"/>
  <c r="K80" i="12" s="1"/>
  <c r="L75" i="12" s="1"/>
  <c r="L80" i="12" s="1"/>
  <c r="M75" i="12" s="1"/>
  <c r="M80" i="12" s="1"/>
  <c r="N75" i="12" s="1"/>
  <c r="N80" i="12" s="1"/>
  <c r="O75" i="12" s="1"/>
  <c r="J20" i="28" l="1"/>
  <c r="F19" i="13"/>
  <c r="I27" i="13"/>
  <c r="E26" i="13"/>
  <c r="M26" i="13"/>
  <c r="G13" i="13"/>
  <c r="G6" i="28"/>
  <c r="G9" i="28"/>
  <c r="G25" i="28"/>
  <c r="J28" i="28"/>
  <c r="E27" i="13"/>
  <c r="I26" i="13"/>
  <c r="E13" i="13"/>
  <c r="J5" i="28"/>
  <c r="J8" i="28"/>
  <c r="G10" i="28"/>
  <c r="G11" i="28"/>
  <c r="G18" i="28"/>
  <c r="G19" i="28"/>
  <c r="G26" i="28"/>
  <c r="J7" i="28"/>
  <c r="J15" i="28"/>
  <c r="J23" i="28"/>
  <c r="J60" i="12"/>
  <c r="K55" i="12" s="1"/>
  <c r="K60" i="12" s="1"/>
  <c r="L55" i="12" s="1"/>
  <c r="J58" i="12"/>
  <c r="L40" i="12"/>
  <c r="M35" i="12" s="1"/>
  <c r="L38" i="12"/>
  <c r="L30" i="12"/>
  <c r="M25" i="12" s="1"/>
  <c r="L28" i="12"/>
  <c r="K50" i="12"/>
  <c r="L45" i="12" s="1"/>
  <c r="L50" i="12" s="1"/>
  <c r="M45" i="12" s="1"/>
  <c r="M50" i="12" s="1"/>
  <c r="N45" i="12" s="1"/>
  <c r="K48" i="12"/>
  <c r="H58" i="12"/>
  <c r="O80" i="12"/>
  <c r="P75" i="12" s="1"/>
  <c r="O78" i="12"/>
  <c r="N78" i="12"/>
  <c r="G5" i="18"/>
  <c r="H5" i="18"/>
  <c r="K28" i="12"/>
  <c r="J48" i="12"/>
  <c r="I58" i="12"/>
  <c r="G70" i="12"/>
  <c r="H65" i="12" s="1"/>
  <c r="H9" i="13"/>
  <c r="H13" i="13" s="1"/>
  <c r="H25" i="13" s="1"/>
  <c r="M9" i="13"/>
  <c r="M13" i="13" s="1"/>
  <c r="G27" i="13"/>
  <c r="G26" i="13"/>
  <c r="J24" i="15"/>
  <c r="K18" i="15"/>
  <c r="M19" i="15"/>
  <c r="M78" i="12"/>
  <c r="J22" i="15"/>
  <c r="E3" i="16"/>
  <c r="E8" i="16"/>
  <c r="E9" i="16"/>
  <c r="D3" i="16"/>
  <c r="D9" i="16"/>
  <c r="E10" i="16"/>
  <c r="D7" i="16"/>
  <c r="D6" i="16"/>
  <c r="E5" i="16"/>
  <c r="D8" i="16"/>
  <c r="L39" i="31"/>
  <c r="L37" i="31"/>
  <c r="L41" i="31" s="1"/>
  <c r="L42" i="31" s="1"/>
  <c r="N9" i="13"/>
  <c r="N13" i="13" s="1"/>
  <c r="N19" i="13" s="1"/>
  <c r="N23" i="13" s="1"/>
  <c r="H20" i="15"/>
  <c r="H22" i="15" s="1"/>
  <c r="D10" i="16"/>
  <c r="P13" i="20"/>
  <c r="O13" i="20"/>
  <c r="J3" i="28"/>
  <c r="I9" i="13"/>
  <c r="I13" i="13" s="1"/>
  <c r="I19" i="13" s="1"/>
  <c r="I23" i="13" s="1"/>
  <c r="P16" i="20"/>
  <c r="O16" i="20"/>
  <c r="L60" i="31"/>
  <c r="L58" i="31"/>
  <c r="L62" i="31" s="1"/>
  <c r="L63" i="31" s="1"/>
  <c r="K78" i="12"/>
  <c r="I28" i="12"/>
  <c r="M48" i="12"/>
  <c r="J78" i="12"/>
  <c r="J9" i="13"/>
  <c r="J13" i="13" s="1"/>
  <c r="J19" i="13" s="1"/>
  <c r="J23" i="13" s="1"/>
  <c r="M18" i="15"/>
  <c r="I19" i="15"/>
  <c r="F20" i="15"/>
  <c r="D4" i="16"/>
  <c r="L48" i="12"/>
  <c r="K58" i="12"/>
  <c r="E4" i="16"/>
  <c r="L78" i="12"/>
  <c r="C26" i="13"/>
  <c r="F24" i="15"/>
  <c r="D5" i="16"/>
  <c r="C22" i="20"/>
  <c r="J13" i="28"/>
  <c r="G13" i="28"/>
  <c r="J16" i="28"/>
  <c r="G16" i="28"/>
  <c r="J21" i="28"/>
  <c r="G21" i="28"/>
  <c r="J24" i="28"/>
  <c r="G24" i="28"/>
  <c r="J29" i="28"/>
  <c r="G29" i="28"/>
  <c r="J32" i="28"/>
  <c r="G32" i="28"/>
  <c r="L9" i="13"/>
  <c r="L13" i="13" s="1"/>
  <c r="L19" i="13" s="1"/>
  <c r="L23" i="13" s="1"/>
  <c r="L22" i="15"/>
  <c r="G7" i="18"/>
  <c r="H7" i="18"/>
  <c r="K9" i="13"/>
  <c r="K13" i="13" s="1"/>
  <c r="D26" i="13"/>
  <c r="D27" i="13"/>
  <c r="E7" i="16"/>
  <c r="N19" i="20"/>
  <c r="N11" i="20"/>
  <c r="N17" i="20"/>
  <c r="N9" i="20"/>
  <c r="N15" i="20"/>
  <c r="P7" i="20"/>
  <c r="N14" i="20"/>
  <c r="N12" i="20"/>
  <c r="N10" i="20"/>
  <c r="N8" i="20"/>
  <c r="N20" i="20"/>
  <c r="N18" i="20"/>
  <c r="G8" i="28"/>
  <c r="O18" i="15"/>
  <c r="L24" i="15"/>
  <c r="P6" i="20"/>
  <c r="O19" i="15"/>
  <c r="I6" i="20"/>
  <c r="I14" i="35"/>
  <c r="D18" i="17"/>
  <c r="K46" i="27"/>
  <c r="I46" i="27"/>
  <c r="L46" i="31"/>
  <c r="D9" i="13"/>
  <c r="D13" i="13" s="1"/>
  <c r="H63" i="31"/>
  <c r="L61" i="31" s="1"/>
  <c r="M17" i="36"/>
  <c r="E17" i="25"/>
  <c r="E15" i="25"/>
  <c r="I45" i="27"/>
  <c r="J4" i="28"/>
  <c r="G7" i="28"/>
  <c r="G15" i="28"/>
  <c r="G23" i="28"/>
  <c r="G31" i="28"/>
  <c r="I38" i="31"/>
  <c r="G28" i="28"/>
  <c r="G3" i="28"/>
  <c r="I43" i="27"/>
  <c r="J6" i="28"/>
  <c r="J9" i="28"/>
  <c r="G14" i="28"/>
  <c r="J17" i="28"/>
  <c r="G22" i="28"/>
  <c r="J25" i="28"/>
  <c r="G30" i="28"/>
  <c r="I41" i="31"/>
  <c r="I39" i="31"/>
  <c r="I42" i="31" s="1"/>
  <c r="L40" i="31" s="1"/>
  <c r="J11" i="28"/>
  <c r="J19" i="28"/>
  <c r="J27" i="28"/>
  <c r="I37" i="31"/>
  <c r="G12" i="28"/>
  <c r="I40" i="31"/>
  <c r="H26" i="13"/>
  <c r="L27" i="13"/>
  <c r="J26" i="13"/>
  <c r="N27" i="13"/>
  <c r="N26" i="13"/>
  <c r="H27" i="13"/>
  <c r="G4" i="28"/>
  <c r="G5" i="28"/>
  <c r="J30" i="28"/>
  <c r="J26" i="28"/>
  <c r="J22" i="28"/>
  <c r="J18" i="28"/>
  <c r="J14" i="28"/>
  <c r="J10" i="28"/>
  <c r="M19" i="13"/>
  <c r="M23" i="13" s="1"/>
  <c r="M25" i="13"/>
  <c r="K19" i="13"/>
  <c r="K23" i="13" s="1"/>
  <c r="K25" i="13"/>
  <c r="E25" i="13"/>
  <c r="E19" i="13"/>
  <c r="E23" i="13" s="1"/>
  <c r="F23" i="13"/>
  <c r="G19" i="13"/>
  <c r="G23" i="13" s="1"/>
  <c r="G25" i="13"/>
  <c r="D19" i="13"/>
  <c r="D23" i="13" s="1"/>
  <c r="D25" i="13"/>
  <c r="C25" i="13"/>
  <c r="F25" i="13"/>
  <c r="L26" i="13"/>
  <c r="F27" i="13"/>
  <c r="L25" i="13" l="1"/>
  <c r="N25" i="13"/>
  <c r="H70" i="12"/>
  <c r="I65" i="12" s="1"/>
  <c r="H68" i="12"/>
  <c r="P15" i="20"/>
  <c r="O15" i="20"/>
  <c r="P78" i="12"/>
  <c r="P80" i="12"/>
  <c r="M40" i="12"/>
  <c r="N35" i="12" s="1"/>
  <c r="M38" i="12"/>
  <c r="P14" i="20"/>
  <c r="O14" i="20"/>
  <c r="I25" i="13"/>
  <c r="G33" i="28"/>
  <c r="N4" i="28" s="1"/>
  <c r="N6" i="28" s="1"/>
  <c r="D16" i="25"/>
  <c r="D17" i="25" s="1"/>
  <c r="D18" i="25" s="1"/>
  <c r="D19" i="25" s="1"/>
  <c r="E20" i="25"/>
  <c r="D15" i="25"/>
  <c r="H13" i="17"/>
  <c r="G13" i="17" s="1"/>
  <c r="H14" i="17"/>
  <c r="G14" i="17" s="1"/>
  <c r="H15" i="17"/>
  <c r="G15" i="17" s="1"/>
  <c r="D22" i="17"/>
  <c r="D23" i="17" s="1"/>
  <c r="D20" i="17"/>
  <c r="D21" i="17" s="1"/>
  <c r="H7" i="17"/>
  <c r="G7" i="17" s="1"/>
  <c r="H9" i="17"/>
  <c r="G9" i="17" s="1"/>
  <c r="H16" i="17"/>
  <c r="G16" i="17" s="1"/>
  <c r="H10" i="17"/>
  <c r="G10" i="17" s="1"/>
  <c r="H11" i="17"/>
  <c r="G11" i="17" s="1"/>
  <c r="H6" i="17"/>
  <c r="H12" i="17"/>
  <c r="G12" i="17" s="1"/>
  <c r="H8" i="17"/>
  <c r="G8" i="17" s="1"/>
  <c r="P18" i="20"/>
  <c r="O18" i="20"/>
  <c r="P9" i="20"/>
  <c r="O9" i="20"/>
  <c r="B34" i="15"/>
  <c r="N48" i="12"/>
  <c r="N50" i="12"/>
  <c r="O45" i="12" s="1"/>
  <c r="L58" i="12"/>
  <c r="L60" i="12"/>
  <c r="M55" i="12" s="1"/>
  <c r="J33" i="28"/>
  <c r="N5" i="28" s="1"/>
  <c r="P17" i="20"/>
  <c r="O17" i="20"/>
  <c r="H19" i="13"/>
  <c r="H23" i="13" s="1"/>
  <c r="P8" i="20"/>
  <c r="O8" i="20"/>
  <c r="C30" i="20"/>
  <c r="C29" i="20" s="1"/>
  <c r="J25" i="13"/>
  <c r="P10" i="20"/>
  <c r="O10" i="20"/>
  <c r="P19" i="20"/>
  <c r="O19" i="20"/>
  <c r="F22" i="15"/>
  <c r="B29" i="15"/>
  <c r="L49" i="31"/>
  <c r="L47" i="31"/>
  <c r="L51" i="31" s="1"/>
  <c r="L52" i="31" s="1"/>
  <c r="P20" i="20"/>
  <c r="O20" i="20"/>
  <c r="I13" i="20"/>
  <c r="I19" i="20"/>
  <c r="I11" i="20"/>
  <c r="I17" i="20"/>
  <c r="I9" i="20"/>
  <c r="I16" i="20"/>
  <c r="I8" i="20"/>
  <c r="J6" i="20"/>
  <c r="I14" i="20"/>
  <c r="K6" i="20"/>
  <c r="C32" i="20" s="1"/>
  <c r="I12" i="20"/>
  <c r="I10" i="20"/>
  <c r="I20" i="20"/>
  <c r="I7" i="20"/>
  <c r="I18" i="20"/>
  <c r="I15" i="20"/>
  <c r="P11" i="20"/>
  <c r="O11" i="20"/>
  <c r="P12" i="20"/>
  <c r="O12" i="20"/>
  <c r="B38" i="15"/>
  <c r="M28" i="12"/>
  <c r="M30" i="12"/>
  <c r="N25" i="12" s="1"/>
  <c r="N7" i="28" l="1"/>
  <c r="K7" i="20"/>
  <c r="J7" i="20"/>
  <c r="K16" i="20"/>
  <c r="J16" i="20"/>
  <c r="J18" i="20"/>
  <c r="K18" i="20"/>
  <c r="N40" i="12"/>
  <c r="O35" i="12" s="1"/>
  <c r="N38" i="12"/>
  <c r="J20" i="20"/>
  <c r="K20" i="20"/>
  <c r="K9" i="20"/>
  <c r="J9" i="20"/>
  <c r="M58" i="12"/>
  <c r="M60" i="12"/>
  <c r="N55" i="12" s="1"/>
  <c r="K17" i="20"/>
  <c r="J17" i="20"/>
  <c r="K11" i="20"/>
  <c r="J11" i="20"/>
  <c r="O48" i="12"/>
  <c r="O50" i="12"/>
  <c r="P45" i="12" s="1"/>
  <c r="C31" i="20"/>
  <c r="C28" i="20"/>
  <c r="K8" i="20"/>
  <c r="J8" i="20"/>
  <c r="K10" i="20"/>
  <c r="J10" i="20"/>
  <c r="J12" i="20"/>
  <c r="K12" i="20"/>
  <c r="K19" i="20"/>
  <c r="J19" i="20"/>
  <c r="G19" i="17"/>
  <c r="G6" i="17"/>
  <c r="J15" i="20"/>
  <c r="K15" i="20"/>
  <c r="N28" i="12"/>
  <c r="N30" i="12"/>
  <c r="O25" i="12" s="1"/>
  <c r="J14" i="20"/>
  <c r="K14" i="20"/>
  <c r="K13" i="20"/>
  <c r="J13" i="20"/>
  <c r="I70" i="12"/>
  <c r="J65" i="12" s="1"/>
  <c r="I68" i="12"/>
  <c r="J6" i="17" l="1"/>
  <c r="G18" i="17"/>
  <c r="G17" i="17"/>
  <c r="O30" i="12"/>
  <c r="P25" i="12" s="1"/>
  <c r="O28" i="12"/>
  <c r="O40" i="12"/>
  <c r="P35" i="12" s="1"/>
  <c r="O38" i="12"/>
  <c r="P50" i="12"/>
  <c r="P48" i="12"/>
  <c r="N58" i="12"/>
  <c r="N60" i="12"/>
  <c r="O55" i="12" s="1"/>
  <c r="J70" i="12"/>
  <c r="K65" i="12" s="1"/>
  <c r="J68" i="12"/>
  <c r="P30" i="12" l="1"/>
  <c r="P28" i="12"/>
  <c r="P40" i="12"/>
  <c r="P38" i="12"/>
  <c r="K70" i="12"/>
  <c r="L65" i="12" s="1"/>
  <c r="K68" i="12"/>
  <c r="G21" i="17"/>
  <c r="O60" i="12"/>
  <c r="P55" i="12" s="1"/>
  <c r="O58" i="12"/>
  <c r="G22" i="17"/>
  <c r="G23" i="17" s="1"/>
  <c r="G24" i="17" s="1"/>
  <c r="G20" i="17"/>
  <c r="J10" i="17"/>
  <c r="I10" i="17" s="1"/>
  <c r="J15" i="17"/>
  <c r="I15" i="17" s="1"/>
  <c r="J11" i="17"/>
  <c r="I11" i="17" s="1"/>
  <c r="J13" i="17"/>
  <c r="I13" i="17" s="1"/>
  <c r="J16" i="17"/>
  <c r="I16" i="17" s="1"/>
  <c r="J7" i="17"/>
  <c r="I7" i="17" s="1"/>
  <c r="J12" i="17"/>
  <c r="I12" i="17" s="1"/>
  <c r="J14" i="17"/>
  <c r="I14" i="17" s="1"/>
  <c r="J9" i="17"/>
  <c r="I9" i="17" s="1"/>
  <c r="J8" i="17"/>
  <c r="I8" i="17" s="1"/>
  <c r="I6" i="17"/>
  <c r="P58" i="12" l="1"/>
  <c r="P60" i="12"/>
  <c r="I19" i="17"/>
  <c r="L15" i="17"/>
  <c r="K15" i="17" s="1"/>
  <c r="L70" i="12"/>
  <c r="M65" i="12" s="1"/>
  <c r="L68" i="12"/>
  <c r="L13" i="17"/>
  <c r="K13" i="17" s="1"/>
  <c r="I17" i="17"/>
  <c r="I18" i="17"/>
  <c r="L6" i="17"/>
  <c r="L10" i="17"/>
  <c r="K10" i="17" s="1"/>
  <c r="L14" i="17"/>
  <c r="K14" i="17" s="1"/>
  <c r="L16" i="17"/>
  <c r="K16" i="17" s="1"/>
  <c r="L8" i="17"/>
  <c r="K8" i="17" s="1"/>
  <c r="G25" i="17"/>
  <c r="G26" i="17"/>
  <c r="L9" i="17"/>
  <c r="K9" i="17" s="1"/>
  <c r="L12" i="17"/>
  <c r="K12" i="17" s="1"/>
  <c r="L7" i="17"/>
  <c r="K7" i="17" s="1"/>
  <c r="M70" i="12" l="1"/>
  <c r="N65" i="12" s="1"/>
  <c r="M68" i="12"/>
  <c r="K6" i="17"/>
  <c r="K19" i="17"/>
  <c r="I22" i="17"/>
  <c r="I23" i="17" s="1"/>
  <c r="I24" i="17" s="1"/>
  <c r="I25" i="17" s="1"/>
  <c r="I20" i="17"/>
  <c r="I21" i="17" s="1"/>
  <c r="L11" i="17"/>
  <c r="K11" i="17" s="1"/>
  <c r="N11" i="17" l="1"/>
  <c r="M11" i="17" s="1"/>
  <c r="K18" i="17"/>
  <c r="K17" i="17"/>
  <c r="N6" i="17"/>
  <c r="I26" i="17"/>
  <c r="N70" i="12"/>
  <c r="O65" i="12" s="1"/>
  <c r="N68" i="12"/>
  <c r="O68" i="12" l="1"/>
  <c r="O70" i="12"/>
  <c r="P65" i="12" s="1"/>
  <c r="M6" i="17"/>
  <c r="K22" i="17"/>
  <c r="K23" i="17" s="1"/>
  <c r="K24" i="17" s="1"/>
  <c r="K20" i="17"/>
  <c r="K21" i="17" s="1"/>
  <c r="N9" i="17"/>
  <c r="M9" i="17" s="1"/>
  <c r="N13" i="17"/>
  <c r="M13" i="17" s="1"/>
  <c r="N12" i="17"/>
  <c r="M12" i="17" s="1"/>
  <c r="N15" i="17"/>
  <c r="M15" i="17" s="1"/>
  <c r="N10" i="17"/>
  <c r="M10" i="17" s="1"/>
  <c r="N8" i="17"/>
  <c r="M8" i="17" s="1"/>
  <c r="N16" i="17"/>
  <c r="M16" i="17" s="1"/>
  <c r="N7" i="17"/>
  <c r="M7" i="17" s="1"/>
  <c r="N14" i="17"/>
  <c r="M14" i="17" s="1"/>
  <c r="K25" i="17" l="1"/>
  <c r="K26" i="17"/>
  <c r="M19" i="17"/>
  <c r="M17" i="17"/>
  <c r="M18" i="17"/>
  <c r="P13" i="17" s="1"/>
  <c r="O13" i="17" s="1"/>
  <c r="P70" i="12"/>
  <c r="P68" i="12"/>
  <c r="P14" i="17"/>
  <c r="O14" i="17" s="1"/>
  <c r="P6" i="17" l="1"/>
  <c r="P12" i="17"/>
  <c r="O12" i="17" s="1"/>
  <c r="P16" i="17"/>
  <c r="O16" i="17" s="1"/>
  <c r="P15" i="17"/>
  <c r="O15" i="17" s="1"/>
  <c r="P7" i="17"/>
  <c r="O7" i="17" s="1"/>
  <c r="P10" i="17"/>
  <c r="O10" i="17" s="1"/>
  <c r="M22" i="17"/>
  <c r="M23" i="17" s="1"/>
  <c r="M24" i="17" s="1"/>
  <c r="M25" i="17" s="1"/>
  <c r="M20" i="17"/>
  <c r="P11" i="17"/>
  <c r="O11" i="17" s="1"/>
  <c r="P9" i="17"/>
  <c r="O9" i="17" s="1"/>
  <c r="M21" i="17"/>
  <c r="P8" i="17"/>
  <c r="O8" i="17" s="1"/>
  <c r="O6" i="17" l="1"/>
  <c r="O19" i="17"/>
  <c r="M26" i="17"/>
  <c r="O18" i="17" l="1"/>
  <c r="O17" i="17"/>
  <c r="R6" i="17"/>
  <c r="Q6" i="17" l="1"/>
  <c r="O22" i="17"/>
  <c r="O23" i="17" s="1"/>
  <c r="O24" i="17" s="1"/>
  <c r="O20" i="17"/>
  <c r="O21" i="17" s="1"/>
  <c r="R13" i="17"/>
  <c r="Q13" i="17" s="1"/>
  <c r="R14" i="17"/>
  <c r="Q14" i="17" s="1"/>
  <c r="R16" i="17"/>
  <c r="Q16" i="17" s="1"/>
  <c r="R11" i="17"/>
  <c r="Q11" i="17" s="1"/>
  <c r="R10" i="17"/>
  <c r="Q10" i="17" s="1"/>
  <c r="R12" i="17"/>
  <c r="Q12" i="17" s="1"/>
  <c r="R8" i="17"/>
  <c r="Q8" i="17" s="1"/>
  <c r="R7" i="17"/>
  <c r="Q7" i="17" s="1"/>
  <c r="R15" i="17"/>
  <c r="Q15" i="17" s="1"/>
  <c r="R9" i="17"/>
  <c r="Q9" i="17" s="1"/>
  <c r="T16" i="17" l="1"/>
  <c r="S16" i="17" s="1"/>
  <c r="T14" i="17"/>
  <c r="S14" i="17" s="1"/>
  <c r="T7" i="17"/>
  <c r="S7" i="17" s="1"/>
  <c r="O25" i="17"/>
  <c r="O26" i="17"/>
  <c r="Q18" i="17"/>
  <c r="T13" i="17" s="1"/>
  <c r="S13" i="17" s="1"/>
  <c r="Q17" i="17"/>
  <c r="T6" i="17"/>
  <c r="T11" i="17"/>
  <c r="S11" i="17" s="1"/>
  <c r="Q19" i="17"/>
  <c r="T12" i="17" l="1"/>
  <c r="S12" i="17" s="1"/>
  <c r="S6" i="17"/>
  <c r="Q22" i="17"/>
  <c r="Q23" i="17" s="1"/>
  <c r="Q24" i="17" s="1"/>
  <c r="Q25" i="17" s="1"/>
  <c r="Q20" i="17"/>
  <c r="Q21" i="17" s="1"/>
  <c r="T8" i="17"/>
  <c r="S8" i="17" s="1"/>
  <c r="T10" i="17"/>
  <c r="S10" i="17" s="1"/>
  <c r="T9" i="17"/>
  <c r="S9" i="17" s="1"/>
  <c r="T15" i="17"/>
  <c r="S15" i="17" s="1"/>
  <c r="S17" i="17" l="1"/>
  <c r="S18" i="17"/>
  <c r="V12" i="17" s="1"/>
  <c r="U12" i="17" s="1"/>
  <c r="Q26" i="17"/>
  <c r="S19" i="17"/>
  <c r="V10" i="17" l="1"/>
  <c r="U10" i="17" s="1"/>
  <c r="V6" i="17"/>
  <c r="V9" i="17"/>
  <c r="U9" i="17" s="1"/>
  <c r="V8" i="17"/>
  <c r="U8" i="17" s="1"/>
  <c r="S22" i="17"/>
  <c r="S23" i="17" s="1"/>
  <c r="S24" i="17" s="1"/>
  <c r="S25" i="17" s="1"/>
  <c r="S20" i="17"/>
  <c r="S21" i="17" s="1"/>
  <c r="V13" i="17"/>
  <c r="U13" i="17" s="1"/>
  <c r="V11" i="17"/>
  <c r="U11" i="17" s="1"/>
  <c r="V14" i="17"/>
  <c r="U14" i="17" s="1"/>
  <c r="V16" i="17"/>
  <c r="U16" i="17" s="1"/>
  <c r="V7" i="17"/>
  <c r="U7" i="17" s="1"/>
  <c r="V15" i="17"/>
  <c r="U15" i="17" s="1"/>
  <c r="S26" i="17" l="1"/>
  <c r="U19" i="17"/>
  <c r="U6" i="17"/>
  <c r="U18" i="17" l="1"/>
  <c r="U17" i="17"/>
  <c r="U20" i="17" l="1"/>
  <c r="U22" i="17"/>
  <c r="U23" i="17" s="1"/>
  <c r="U24" i="17" s="1"/>
  <c r="X12" i="17"/>
  <c r="W12" i="17" s="1"/>
  <c r="X8" i="17"/>
  <c r="W8" i="17" s="1"/>
  <c r="X9" i="17"/>
  <c r="W9" i="17" s="1"/>
  <c r="X15" i="17"/>
  <c r="W15" i="17" s="1"/>
  <c r="X10" i="17"/>
  <c r="W10" i="17" s="1"/>
  <c r="X16" i="17"/>
  <c r="W16" i="17" s="1"/>
  <c r="X11" i="17"/>
  <c r="W11" i="17" s="1"/>
  <c r="X13" i="17"/>
  <c r="W13" i="17" s="1"/>
  <c r="X7" i="17"/>
  <c r="W7" i="17" s="1"/>
  <c r="X14" i="17"/>
  <c r="W14" i="17" s="1"/>
  <c r="X6" i="17"/>
  <c r="U21" i="17"/>
  <c r="W19" i="17" l="1"/>
  <c r="W6" i="17"/>
  <c r="U25" i="17"/>
  <c r="U26" i="17"/>
  <c r="W18" i="17" l="1"/>
  <c r="W17" i="17"/>
  <c r="W21" i="17" l="1"/>
  <c r="W20" i="17"/>
  <c r="W22" i="17"/>
  <c r="W23" i="17" s="1"/>
  <c r="W24" i="17" s="1"/>
  <c r="Z15" i="17"/>
  <c r="Y15" i="17" s="1"/>
  <c r="Z7" i="17"/>
  <c r="Y7" i="17" s="1"/>
  <c r="Z9" i="17"/>
  <c r="Y9" i="17" s="1"/>
  <c r="Z10" i="17"/>
  <c r="Y10" i="17" s="1"/>
  <c r="Z11" i="17"/>
  <c r="Y11" i="17" s="1"/>
  <c r="Z8" i="17"/>
  <c r="Y8" i="17" s="1"/>
  <c r="Z16" i="17"/>
  <c r="Y16" i="17" s="1"/>
  <c r="Z12" i="17"/>
  <c r="Y12" i="17" s="1"/>
  <c r="Z13" i="17"/>
  <c r="Y13" i="17" s="1"/>
  <c r="Z14" i="17"/>
  <c r="Y14" i="17" s="1"/>
  <c r="Z6" i="17"/>
  <c r="Y19" i="17" l="1"/>
  <c r="Y6" i="17"/>
  <c r="W25" i="17"/>
  <c r="W26" i="17"/>
  <c r="Y17" i="17" l="1"/>
  <c r="Y18" i="17"/>
  <c r="AB6" i="17"/>
  <c r="AA6" i="17" l="1"/>
  <c r="Y22" i="17"/>
  <c r="Y23" i="17" s="1"/>
  <c r="Y24" i="17" s="1"/>
  <c r="Y20" i="17"/>
  <c r="AB11" i="17"/>
  <c r="AA11" i="17" s="1"/>
  <c r="AB10" i="17"/>
  <c r="AA10" i="17" s="1"/>
  <c r="AB14" i="17"/>
  <c r="AA14" i="17" s="1"/>
  <c r="AB13" i="17"/>
  <c r="AA13" i="17" s="1"/>
  <c r="AB7" i="17"/>
  <c r="AA7" i="17" s="1"/>
  <c r="AB15" i="17"/>
  <c r="AA15" i="17" s="1"/>
  <c r="AB8" i="17"/>
  <c r="AA8" i="17" s="1"/>
  <c r="AB16" i="17"/>
  <c r="AA16" i="17" s="1"/>
  <c r="AB9" i="17"/>
  <c r="AA9" i="17" s="1"/>
  <c r="AB12" i="17"/>
  <c r="AA12" i="17" s="1"/>
  <c r="Y21" i="17"/>
  <c r="Y25" i="17" l="1"/>
  <c r="Y26" i="17"/>
  <c r="AA19" i="17"/>
  <c r="AA17" i="17"/>
  <c r="AA18" i="17"/>
  <c r="AD11" i="17" s="1"/>
  <c r="AC11" i="17" s="1"/>
  <c r="AD6" i="17" l="1"/>
  <c r="AD15" i="17"/>
  <c r="AC15" i="17" s="1"/>
  <c r="AD7" i="17"/>
  <c r="AC7" i="17" s="1"/>
  <c r="AD8" i="17"/>
  <c r="AC8" i="17" s="1"/>
  <c r="AD9" i="17"/>
  <c r="AC9" i="17" s="1"/>
  <c r="AD16" i="17"/>
  <c r="AC16" i="17" s="1"/>
  <c r="AD13" i="17"/>
  <c r="AC13" i="17" s="1"/>
  <c r="AD10" i="17"/>
  <c r="AC10" i="17" s="1"/>
  <c r="AA22" i="17"/>
  <c r="AA23" i="17" s="1"/>
  <c r="AA24" i="17" s="1"/>
  <c r="AA25" i="17" s="1"/>
  <c r="AA20" i="17"/>
  <c r="AA21" i="17" s="1"/>
  <c r="AD14" i="17"/>
  <c r="AC14" i="17" s="1"/>
  <c r="AA26" i="17"/>
  <c r="AD12" i="17"/>
  <c r="AC12" i="17" s="1"/>
  <c r="AC19" i="17" l="1"/>
  <c r="AC6" i="17"/>
  <c r="AC18" i="17" l="1"/>
  <c r="AF6" i="17"/>
  <c r="AC17" i="17"/>
  <c r="AE6" i="17" l="1"/>
  <c r="AC20" i="17"/>
  <c r="AC21" i="17" s="1"/>
  <c r="AC22" i="17"/>
  <c r="AC23" i="17" s="1"/>
  <c r="AC24" i="17" s="1"/>
  <c r="AF11" i="17"/>
  <c r="AE11" i="17" s="1"/>
  <c r="AF12" i="17"/>
  <c r="AE12" i="17" s="1"/>
  <c r="AF8" i="17"/>
  <c r="AE8" i="17" s="1"/>
  <c r="AF9" i="17"/>
  <c r="AE9" i="17" s="1"/>
  <c r="AF7" i="17"/>
  <c r="AE7" i="17" s="1"/>
  <c r="AF15" i="17"/>
  <c r="AE15" i="17" s="1"/>
  <c r="AF10" i="17"/>
  <c r="AE10" i="17" s="1"/>
  <c r="AF13" i="17"/>
  <c r="AE13" i="17" s="1"/>
  <c r="AF14" i="17"/>
  <c r="AE14" i="17" s="1"/>
  <c r="AF16" i="17"/>
  <c r="AE16" i="17" s="1"/>
  <c r="AC25" i="17" l="1"/>
  <c r="AC26" i="17"/>
  <c r="AE19" i="17"/>
  <c r="AE18" i="17"/>
  <c r="AE17" i="17"/>
  <c r="AE22" i="17" l="1"/>
  <c r="AE23" i="17" s="1"/>
  <c r="AE24" i="17" s="1"/>
  <c r="AE25" i="17" s="1"/>
  <c r="AE20" i="17"/>
  <c r="AE21" i="17" s="1"/>
  <c r="AA28" i="17" s="1"/>
  <c r="AA29" i="17" s="1"/>
  <c r="AE26" i="17" l="1"/>
  <c r="S28" i="17" s="1"/>
  <c r="S30" i="17" l="1"/>
  <c r="S29"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12" authorId="0" shapeId="0" xr:uid="{00000000-0006-0000-0100-000001000000}">
      <text>
        <r>
          <rPr>
            <b/>
            <sz val="9"/>
            <color indexed="81"/>
            <rFont val="Tahoma"/>
            <family val="2"/>
          </rPr>
          <t>Autor:</t>
        </r>
        <r>
          <rPr>
            <sz val="9"/>
            <color indexed="81"/>
            <rFont val="Tahoma"/>
            <family val="2"/>
          </rPr>
          <t xml:space="preserve">
tiempo que tarda en llegar 
</t>
        </r>
      </text>
    </comment>
    <comment ref="F12" authorId="0" shapeId="0" xr:uid="{00000000-0006-0000-0100-000002000000}">
      <text>
        <r>
          <rPr>
            <b/>
            <sz val="9"/>
            <color indexed="81"/>
            <rFont val="Tahoma"/>
            <family val="2"/>
          </rPr>
          <t>Autor:</t>
        </r>
        <r>
          <rPr>
            <sz val="9"/>
            <color indexed="81"/>
            <rFont val="Tahoma"/>
            <family val="2"/>
          </rPr>
          <t xml:space="preserve">
cada cierto tiempo se entregaria un pedido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Bryan Salazar López</author>
  </authors>
  <commentList>
    <comment ref="D6" authorId="0" shapeId="0" xr:uid="{00000000-0006-0000-0600-000001000000}">
      <text>
        <r>
          <rPr>
            <b/>
            <sz val="9"/>
            <color indexed="81"/>
            <rFont val="Tahoma"/>
            <family val="2"/>
          </rPr>
          <t>hh:mm:ss</t>
        </r>
      </text>
    </comment>
    <comment ref="E6" authorId="0" shapeId="0" xr:uid="{00000000-0006-0000-0600-000002000000}">
      <text>
        <r>
          <rPr>
            <b/>
            <sz val="9"/>
            <color indexed="81"/>
            <rFont val="Tahoma"/>
            <family val="2"/>
          </rPr>
          <t>Número inicial de operarios en la tarea</t>
        </r>
      </text>
    </comment>
    <comment ref="F6" authorId="0" shapeId="0" xr:uid="{00000000-0006-0000-0600-000003000000}">
      <text>
        <r>
          <rPr>
            <b/>
            <sz val="9"/>
            <color indexed="81"/>
            <rFont val="Tahoma"/>
            <family val="2"/>
          </rPr>
          <t>Ciclo en el que 1 Unidad pasa al siguiente proceso</t>
        </r>
      </text>
    </comment>
    <comment ref="D18" authorId="0" shapeId="0" xr:uid="{00000000-0006-0000-0600-000004000000}">
      <text>
        <r>
          <rPr>
            <b/>
            <sz val="9"/>
            <color indexed="81"/>
            <rFont val="Tahoma"/>
            <family val="2"/>
          </rPr>
          <t>Tasa de procesamiento más alta y que en efecto marca el ritmo de la línea</t>
        </r>
      </text>
    </comment>
    <comment ref="D20" authorId="0" shapeId="0" xr:uid="{00000000-0006-0000-0600-000005000000}">
      <text>
        <r>
          <rPr>
            <b/>
            <sz val="9"/>
            <color indexed="81"/>
            <rFont val="Tahoma"/>
            <family val="2"/>
          </rPr>
          <t>Cada intervalo pérdido en el ciclo de control es un intervalo pérdido en el sistema.</t>
        </r>
      </text>
    </comment>
    <comment ref="D22" authorId="0" shapeId="0" xr:uid="{00000000-0006-0000-0600-000006000000}">
      <text>
        <r>
          <rPr>
            <b/>
            <sz val="9"/>
            <color indexed="81"/>
            <rFont val="Tahoma"/>
            <family val="2"/>
          </rPr>
          <t>Ciclo de control (Ritmo de la línea) que considera la incertidumbre (Productividad)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Cecilia</author>
  </authors>
  <commentList>
    <comment ref="B15" authorId="0" shapeId="0" xr:uid="{00000000-0006-0000-0800-000001000000}">
      <text>
        <r>
          <rPr>
            <b/>
            <sz val="9"/>
            <color indexed="81"/>
            <rFont val="Tahoma"/>
            <family val="2"/>
          </rPr>
          <t>(Ventas x precio)/ (Mano de obra utlizada x costo de mano de obra)</t>
        </r>
        <r>
          <rPr>
            <sz val="9"/>
            <color indexed="81"/>
            <rFont val="Tahoma"/>
            <family val="2"/>
          </rPr>
          <t xml:space="preserve">
</t>
        </r>
      </text>
    </comment>
    <comment ref="B16" authorId="0" shapeId="0" xr:uid="{00000000-0006-0000-0800-000002000000}">
      <text>
        <r>
          <rPr>
            <b/>
            <sz val="9"/>
            <color indexed="81"/>
            <rFont val="Tahoma"/>
            <family val="2"/>
          </rPr>
          <t xml:space="preserve">
(Ventas x precio) / (Materia prima utilizada x Costo Materia Prima)</t>
        </r>
        <r>
          <rPr>
            <sz val="9"/>
            <color indexed="81"/>
            <rFont val="Tahoma"/>
            <family val="2"/>
          </rPr>
          <t xml:space="preserve">
</t>
        </r>
      </text>
    </comment>
    <comment ref="B17" authorId="0" shapeId="0" xr:uid="{00000000-0006-0000-0800-000003000000}">
      <text>
        <r>
          <rPr>
            <b/>
            <sz val="9"/>
            <color indexed="81"/>
            <rFont val="Tahoma"/>
            <family val="2"/>
          </rPr>
          <t>(Precio de venta unitario x Nivel de producción)/(Costo total Mano de Obra+ Costo Total Materia Prima+depreciación + gastos)</t>
        </r>
        <r>
          <rPr>
            <sz val="9"/>
            <color indexed="81"/>
            <rFont val="Tahoma"/>
            <family val="2"/>
          </rPr>
          <t xml:space="preserve">
</t>
        </r>
      </text>
    </comment>
  </commentList>
</comments>
</file>

<file path=xl/sharedStrings.xml><?xml version="1.0" encoding="utf-8"?>
<sst xmlns="http://schemas.openxmlformats.org/spreadsheetml/2006/main" count="1360" uniqueCount="866">
  <si>
    <t>Evaluación de Organización</t>
  </si>
  <si>
    <t>Sí</t>
  </si>
  <si>
    <t>No</t>
  </si>
  <si>
    <t>¿Los objetos considerados necesarios para el desarrollo de las actividades del área se encuentran organizados?</t>
  </si>
  <si>
    <t>¿Se observan objetos dañados?</t>
  </si>
  <si>
    <t>En caso de observarse objetos dañados ¿Se han catalogado cómo útiles o inútiles? ¿Existe un plan de acción para repararlos o se encuentran separados y rotulados?</t>
  </si>
  <si>
    <t>¿Existen objetos obsoletos?</t>
  </si>
  <si>
    <t>En caso de observarse objetos obsoletos ¿Están debidamente identificados como tal, se encuentran separados y existe un plan de acción para ser descartados?</t>
  </si>
  <si>
    <t>¿Se observan objetos de más, es decir que no son necesarios para el desarrollo de las actividades del área?</t>
  </si>
  <si>
    <t>En caso de observarse objetos de más ¿Están debidamente identificados cómo tal, existe un plan de acción para ser transferidos a un área que los requiera?</t>
  </si>
  <si>
    <t>¿Hay materias primas, semi elaborados o residuos en el entorno de trabajo?</t>
  </si>
  <si>
    <t>Evaluación de Orden</t>
  </si>
  <si>
    <t>¿Se dispone de un sitio adecuado para cada elemento que se ha considerado como necesario? ¿Cada cosa en su lugar?</t>
  </si>
  <si>
    <t>¿Se dispone de sitios debidamente identificados para elementos que se utilizan con poco frecuencia?</t>
  </si>
  <si>
    <t>¿Utiliza la identificación visual, de tal manera que le permita a las personas ajenas al área realizar una correcta disposición de los objetos de espacio?</t>
  </si>
  <si>
    <t>¿La disposición de los elementos es acorde al grado de utilización de los mismos? Entre más frecuente más cercano.</t>
  </si>
  <si>
    <t>¿Considera que los elementos dispuestos se encuentran en una cantidad ideal?</t>
  </si>
  <si>
    <t>¿Existen medios para que cada elemento retorne a su lugar de disposición?</t>
  </si>
  <si>
    <t>¿Hacen uso de herramientas como códigos de color, señalización, hojas de verificación?</t>
  </si>
  <si>
    <t>Evaluación de Limpieza</t>
  </si>
  <si>
    <t>¿El área de trabajo se percibe como absolutamente limpia?</t>
  </si>
  <si>
    <t>¿Los operarios del área y en su totalidad se encuentran limpios, de acuerdo a sus actividades y a sus posibilidades de asearse?</t>
  </si>
  <si>
    <t>¿Se han eliminado las fuentes de contaminación? No solo la suciedad</t>
  </si>
  <si>
    <t>¿Existe una rutina de limpieza por parte de los operarios del área?</t>
  </si>
  <si>
    <t>¿Existen espacios y elementos para disponer de la basura?</t>
  </si>
  <si>
    <t>Evaluación de Estandarización</t>
  </si>
  <si>
    <t>¿Existen herramientas de estandarización para mantener la organización, el orden y la limpieza identificados?</t>
  </si>
  <si>
    <t>¿Se utiliza evidencia visual respecto al mantenimiento de las condiciones de organización, orden y limpieza?</t>
  </si>
  <si>
    <t>¿Se utilizan moldes o plantillas para conservar el orden?</t>
  </si>
  <si>
    <t>¿Se cuenta con una cronograma de análisis de utilidad, obsolescencia y estado de elementos?</t>
  </si>
  <si>
    <t>¿En el período de evaluación, se han presentado propuestas de mejora en el área?</t>
  </si>
  <si>
    <t>¿Se han desarrollado lecciones de un punto o procedimientos operativos estándar?</t>
  </si>
  <si>
    <t>Evaluación de Disciplina</t>
  </si>
  <si>
    <t>¿Se percibe una ﻿cultura de respeto por los estándares establecidos, y por los logros alcanzados en materia de organización, orden y limpieza?</t>
  </si>
  <si>
    <t>¿Se percibe proactividad en el desarrollo de la metodología 5s?</t>
  </si>
  <si>
    <t>¿Se conocen situaciones dentro del período de la evaluación, no necesariamente al momento de diligenciar este formato, que afecten los principios 5s?</t>
  </si>
  <si>
    <t>¿Se encuentran visibles los resultados obtenidos por medio de la metodología?</t>
  </si>
  <si>
    <t>MRP Materials Requirement Planning</t>
  </si>
  <si>
    <t>Parte</t>
  </si>
  <si>
    <t>Tiempo LT</t>
  </si>
  <si>
    <t>Lote Tamaño</t>
  </si>
  <si>
    <t>Inv. Disponible</t>
  </si>
  <si>
    <t>Recepciones Programadas</t>
  </si>
  <si>
    <t>Inv. De Seguridad</t>
  </si>
  <si>
    <t>Bicicleta</t>
  </si>
  <si>
    <t>L X L</t>
  </si>
  <si>
    <t>N/A</t>
  </si>
  <si>
    <t>Cuadro</t>
  </si>
  <si>
    <t>Aciento</t>
  </si>
  <si>
    <t>Rueda</t>
  </si>
  <si>
    <t>Rin</t>
  </si>
  <si>
    <t>500 SEM 30</t>
  </si>
  <si>
    <t>Llanta</t>
  </si>
  <si>
    <t>Semanas</t>
  </si>
  <si>
    <t>Req.Bruto</t>
  </si>
  <si>
    <t>Inv.Inicial</t>
  </si>
  <si>
    <t>Rec.Programado</t>
  </si>
  <si>
    <t>Inv.Seguridad</t>
  </si>
  <si>
    <t>Req.Neto</t>
  </si>
  <si>
    <t>Liberación orden</t>
  </si>
  <si>
    <t>Inv.Final</t>
  </si>
  <si>
    <t>Resumen de MRP</t>
  </si>
  <si>
    <t>Calculo del Costo de Producción</t>
  </si>
  <si>
    <t>MATERIA PRIMA</t>
  </si>
  <si>
    <t>Detalle</t>
  </si>
  <si>
    <t>Ene</t>
  </si>
  <si>
    <t>Feb</t>
  </si>
  <si>
    <t>Mar</t>
  </si>
  <si>
    <t>Abr</t>
  </si>
  <si>
    <t>May</t>
  </si>
  <si>
    <t>Jun</t>
  </si>
  <si>
    <t>Jul</t>
  </si>
  <si>
    <t>Ago</t>
  </si>
  <si>
    <t>Sep</t>
  </si>
  <si>
    <t>Oct</t>
  </si>
  <si>
    <t>Nov</t>
  </si>
  <si>
    <t>Dic</t>
  </si>
  <si>
    <t>Inventario Inicial</t>
  </si>
  <si>
    <t>Completar celdas en verde</t>
  </si>
  <si>
    <t>Compras</t>
  </si>
  <si>
    <t>Total de Materias Primas</t>
  </si>
  <si>
    <t>Inventario Final de Materias Primas</t>
  </si>
  <si>
    <t>Costo de Materias Primas</t>
  </si>
  <si>
    <t>MANO DE OBRA</t>
  </si>
  <si>
    <t>Mano de Obra Directa</t>
  </si>
  <si>
    <t>Costos de Fabricación</t>
  </si>
  <si>
    <t>Total Costo de Producción</t>
  </si>
  <si>
    <t xml:space="preserve">Producción Mensual Kg. </t>
  </si>
  <si>
    <t>Costos Unitarios Mensuales</t>
  </si>
  <si>
    <t>Costos Unitarios Individuales</t>
  </si>
  <si>
    <t>Costo Unit. MP</t>
  </si>
  <si>
    <t>Costo Unit. Mano de Obra</t>
  </si>
  <si>
    <t>Costo Unit. Gastos de Fabricación</t>
  </si>
  <si>
    <t xml:space="preserve">Etapa </t>
  </si>
  <si>
    <t>Fecha de Inicio</t>
  </si>
  <si>
    <t>Fecha de Finalización</t>
  </si>
  <si>
    <t>Duración</t>
  </si>
  <si>
    <t>Progreso</t>
  </si>
  <si>
    <t>Días completados</t>
  </si>
  <si>
    <t>Días para finalizar</t>
  </si>
  <si>
    <t>Fase 1</t>
  </si>
  <si>
    <t>Fase 2</t>
  </si>
  <si>
    <t>Fase 3</t>
  </si>
  <si>
    <t>Fase 4</t>
  </si>
  <si>
    <t>Fase 5</t>
  </si>
  <si>
    <t>Fase 6</t>
  </si>
  <si>
    <t>Fase 7</t>
  </si>
  <si>
    <t>Fase 8</t>
  </si>
  <si>
    <t>Fase 9</t>
  </si>
  <si>
    <t>Fase 10</t>
  </si>
  <si>
    <t>Fase 11</t>
  </si>
  <si>
    <t>Fase 12</t>
  </si>
  <si>
    <t>Fase 13</t>
  </si>
  <si>
    <t>Fase 14</t>
  </si>
  <si>
    <t>Fase 15</t>
  </si>
  <si>
    <t>COMPARACION DE PRODUCTIVIDAD ENTRE PERIODOS</t>
  </si>
  <si>
    <t>PERIODOS</t>
  </si>
  <si>
    <t>A</t>
  </si>
  <si>
    <t>B</t>
  </si>
  <si>
    <t>C</t>
  </si>
  <si>
    <t>D</t>
  </si>
  <si>
    <t>E</t>
  </si>
  <si>
    <t>F</t>
  </si>
  <si>
    <t>Volumen de Ventas</t>
  </si>
  <si>
    <t>Precio de Venta unitario</t>
  </si>
  <si>
    <t>Costo de Mano de Obra x Hora</t>
  </si>
  <si>
    <t>N° de Horas Empleadas</t>
  </si>
  <si>
    <t>Costo de Materia Prima Unitario</t>
  </si>
  <si>
    <t>N° de Unidades de materia Prima Empleadas</t>
  </si>
  <si>
    <t>Depreciacion</t>
  </si>
  <si>
    <t>Otros Gastos</t>
  </si>
  <si>
    <t>Valor</t>
  </si>
  <si>
    <t>IP</t>
  </si>
  <si>
    <t>Ventas</t>
  </si>
  <si>
    <t>Costo Total de Mano de Obra</t>
  </si>
  <si>
    <t xml:space="preserve">Costo Total de Materia Prima </t>
  </si>
  <si>
    <t>Indice de Productividad Total</t>
  </si>
  <si>
    <t>% de Incremento o Disminucion de Productividad respecto al periodo inmediatamente anterior</t>
  </si>
  <si>
    <t>Utilidad</t>
  </si>
  <si>
    <t>INDICE DE PRODUCTIVIDAD TOTAL PROMEDIO</t>
  </si>
  <si>
    <t>INDICE DE PRODUCTIVIDAD DEL RECURSO HUMANO PROMEDIO</t>
  </si>
  <si>
    <t>INDICE DE PRODUCTIVIDAD DE LA MATERIA PRIMA PROMEDIO</t>
  </si>
  <si>
    <t>VENDEDOR</t>
  </si>
  <si>
    <t>VENTAS</t>
  </si>
  <si>
    <t>PROMEDIO</t>
  </si>
  <si>
    <t>LSC</t>
  </si>
  <si>
    <t>LIC</t>
  </si>
  <si>
    <t>NICOLAS</t>
  </si>
  <si>
    <t>JORGE</t>
  </si>
  <si>
    <t>DESVIACION</t>
  </si>
  <si>
    <t>MILAGROS</t>
  </si>
  <si>
    <t>HARRY</t>
  </si>
  <si>
    <t>ELIOT</t>
  </si>
  <si>
    <t>ANIBAL</t>
  </si>
  <si>
    <t>KIKE</t>
  </si>
  <si>
    <t>LOURDES</t>
  </si>
  <si>
    <t xml:space="preserve"> BALANCEO DE LINEAS DE PRODUCCION</t>
  </si>
  <si>
    <r>
      <t>N</t>
    </r>
    <r>
      <rPr>
        <b/>
        <sz val="6"/>
        <color theme="1"/>
        <rFont val="Calibri"/>
        <family val="2"/>
        <scheme val="minor"/>
      </rPr>
      <t>o</t>
    </r>
  </si>
  <si>
    <t>DESCRIPCION DE LA TAREA</t>
  </si>
  <si>
    <t>ITERACION 1 (BASE)</t>
  </si>
  <si>
    <t>ITERACION 2</t>
  </si>
  <si>
    <t>ITERACION 3</t>
  </si>
  <si>
    <t>ITERACION 4</t>
  </si>
  <si>
    <t>ITERACION 5</t>
  </si>
  <si>
    <t>ITERACION 6</t>
  </si>
  <si>
    <t>ITERACION 7</t>
  </si>
  <si>
    <t>ITERACION 8</t>
  </si>
  <si>
    <t>ITERACION 9</t>
  </si>
  <si>
    <t>ITERACION 10</t>
  </si>
  <si>
    <t>ITERACION 11</t>
  </si>
  <si>
    <t>ITERACION 12</t>
  </si>
  <si>
    <t>ITERACION 13</t>
  </si>
  <si>
    <t>ITERACION 14</t>
  </si>
  <si>
    <t>TIEMPO PARA PRODUCIR UNA UNIDAD POR UN TRABAJADOR</t>
  </si>
  <si>
    <t>Nº DE TRABAJADORES EN LA OPERACIÓN</t>
  </si>
  <si>
    <t>TASA DE PRODUCCIÓN POR UNIDAD</t>
  </si>
  <si>
    <t>TIEMPO</t>
  </si>
  <si>
    <t>OP</t>
  </si>
  <si>
    <t>Armar pieza A</t>
  </si>
  <si>
    <t>Armar pieza B</t>
  </si>
  <si>
    <t>Ensamblar pieza A y B</t>
  </si>
  <si>
    <t>TIEMPO TOTAL POR UNIDAD POR TRABAJADOR</t>
  </si>
  <si>
    <t>CICLO DE CONTROL (RITMO DEL CUELLO)</t>
  </si>
  <si>
    <t>No. DE OPERARIOS EN LA LÍNEA</t>
  </si>
  <si>
    <t>TIEMPO TOTAL DE LA LÍNEA</t>
  </si>
  <si>
    <t>% BALANCE DE LÍNEA</t>
  </si>
  <si>
    <t>CICLO DE TRABAJO AJUSTADO</t>
  </si>
  <si>
    <t>G</t>
  </si>
  <si>
    <t>UNIDADES / HORA</t>
  </si>
  <si>
    <t>H</t>
  </si>
  <si>
    <t>UNIDADES / TURNO</t>
  </si>
  <si>
    <t>I</t>
  </si>
  <si>
    <t>UNIDADES / OPERARIOS</t>
  </si>
  <si>
    <t>J</t>
  </si>
  <si>
    <t>COSTO DE MANO DE OBRA POR UNIDAD</t>
  </si>
  <si>
    <t>PRODUCTIVIDAD DE LINEA</t>
  </si>
  <si>
    <t>TOLERANCIA PERSONAL</t>
  </si>
  <si>
    <t>MENOR COSTO POR UNIDAD</t>
  </si>
  <si>
    <t>MAYOR % DE BALANCE DE LÍNEA</t>
  </si>
  <si>
    <t>TIEMPO POR TURNO</t>
  </si>
  <si>
    <t>TOLERANCIA MAQUINARIA</t>
  </si>
  <si>
    <t>SALARIO / DÍA / OPERARIO</t>
  </si>
  <si>
    <t>TOTAL DE TIEMPO LABORADO</t>
  </si>
  <si>
    <t>Desempeño línea de producción</t>
  </si>
  <si>
    <t xml:space="preserve">Línea </t>
  </si>
  <si>
    <t>Objetivo</t>
  </si>
  <si>
    <t>Producidos</t>
  </si>
  <si>
    <t>Defectuosos</t>
  </si>
  <si>
    <t>Buenos</t>
  </si>
  <si>
    <t>Déficit</t>
  </si>
  <si>
    <t>Porcentaje</t>
  </si>
  <si>
    <t>Índice de Productividad Total</t>
  </si>
  <si>
    <t>Índice de Productividad Materia Prima</t>
  </si>
  <si>
    <t xml:space="preserve">Índice de Productividad Mano de obra </t>
  </si>
  <si>
    <t>Producto E</t>
  </si>
  <si>
    <t>Producto D</t>
  </si>
  <si>
    <t>Producto C</t>
  </si>
  <si>
    <t>Producto B</t>
  </si>
  <si>
    <t>Producto A</t>
  </si>
  <si>
    <t>Indicadores</t>
  </si>
  <si>
    <t>N° de Unidades de Materia Prima utilizadas</t>
  </si>
  <si>
    <t xml:space="preserve">Costo Unitario de Materia Prima </t>
  </si>
  <si>
    <t>N° de Horas de Mano de Obra utilizadas</t>
  </si>
  <si>
    <t>Ventas (en unidades)</t>
  </si>
  <si>
    <t>Datos</t>
  </si>
  <si>
    <t>Productividad por producto</t>
  </si>
  <si>
    <t>Fabricacion de Tornillos en la  Produccion Marzo 2018</t>
  </si>
  <si>
    <t>Muestras del espesor de un Tornillo Fabricado</t>
  </si>
  <si>
    <t>muestras en mm</t>
  </si>
  <si>
    <t>DATOS DE LA MEDIA</t>
  </si>
  <si>
    <t>DATOS DEL RANGO</t>
  </si>
  <si>
    <t>subgrupo</t>
  </si>
  <si>
    <t>promedio x</t>
  </si>
  <si>
    <t>LCX</t>
  </si>
  <si>
    <t>LCS</t>
  </si>
  <si>
    <t>LCI</t>
  </si>
  <si>
    <t>R</t>
  </si>
  <si>
    <t>LCR</t>
  </si>
  <si>
    <t>LC1</t>
  </si>
  <si>
    <t>XPROMEDIO</t>
  </si>
  <si>
    <t>A2</t>
  </si>
  <si>
    <t>D4</t>
  </si>
  <si>
    <t>D3</t>
  </si>
  <si>
    <t>d2</t>
  </si>
  <si>
    <t>σ</t>
  </si>
  <si>
    <t>Cp</t>
  </si>
  <si>
    <t>CPK</t>
  </si>
  <si>
    <t>ZI</t>
  </si>
  <si>
    <t>ZS</t>
  </si>
  <si>
    <t>ppk</t>
  </si>
  <si>
    <t>R promedio</t>
  </si>
  <si>
    <t>n</t>
  </si>
  <si>
    <t>PLANILLA PARA CONVERSIÓN DE UNIDADES</t>
  </si>
  <si>
    <t>Ingrese las unidades  que desea convertir en las celdas punteadas</t>
  </si>
  <si>
    <t xml:space="preserve"> </t>
  </si>
  <si>
    <t>PRESION</t>
  </si>
  <si>
    <t>bar</t>
  </si>
  <si>
    <t>N/m2</t>
  </si>
  <si>
    <t>atm</t>
  </si>
  <si>
    <t>psi(lb/plg2)</t>
  </si>
  <si>
    <t>kgf/cm2</t>
  </si>
  <si>
    <t>mmHg</t>
  </si>
  <si>
    <t>plgHg</t>
  </si>
  <si>
    <t>TEMPERATURA</t>
  </si>
  <si>
    <t>ºC</t>
  </si>
  <si>
    <t>K</t>
  </si>
  <si>
    <t>ºF</t>
  </si>
  <si>
    <t>ºR</t>
  </si>
  <si>
    <t>LONGITUD</t>
  </si>
  <si>
    <t>m</t>
  </si>
  <si>
    <t>plg</t>
  </si>
  <si>
    <t>ft</t>
  </si>
  <si>
    <t>milla</t>
  </si>
  <si>
    <t>SUPERFICIE</t>
  </si>
  <si>
    <t>m2</t>
  </si>
  <si>
    <t>plg2</t>
  </si>
  <si>
    <t>ft2</t>
  </si>
  <si>
    <t>VOLUMEN</t>
  </si>
  <si>
    <t>m3</t>
  </si>
  <si>
    <t>plg3</t>
  </si>
  <si>
    <t>ft3</t>
  </si>
  <si>
    <t>cm3</t>
  </si>
  <si>
    <t>lt</t>
  </si>
  <si>
    <t>gal</t>
  </si>
  <si>
    <t>MASA</t>
  </si>
  <si>
    <t>oz avdp.</t>
  </si>
  <si>
    <t>libras</t>
  </si>
  <si>
    <t>Kg</t>
  </si>
  <si>
    <t>gramos</t>
  </si>
  <si>
    <t>ENERGIA</t>
  </si>
  <si>
    <t>Joule</t>
  </si>
  <si>
    <t>Kwh</t>
  </si>
  <si>
    <t>kcal</t>
  </si>
  <si>
    <t>cal</t>
  </si>
  <si>
    <t>BTU</t>
  </si>
  <si>
    <t>hp.hr</t>
  </si>
  <si>
    <t>FUERZA</t>
  </si>
  <si>
    <t>N</t>
  </si>
  <si>
    <t>kgf</t>
  </si>
  <si>
    <t>lbf</t>
  </si>
  <si>
    <t>POTENCIA-FLUJO DE CALOR</t>
  </si>
  <si>
    <t>W</t>
  </si>
  <si>
    <t>kcal/h</t>
  </si>
  <si>
    <t>BTU/h</t>
  </si>
  <si>
    <t>hp</t>
  </si>
  <si>
    <t>VISCOSIDAD</t>
  </si>
  <si>
    <t>P</t>
  </si>
  <si>
    <t>lb/sft</t>
  </si>
  <si>
    <t>lbfs/ft2</t>
  </si>
  <si>
    <t>lb/hft</t>
  </si>
  <si>
    <t>kg/hm</t>
  </si>
  <si>
    <t>Ns/m2</t>
  </si>
  <si>
    <t>DENSIDAD</t>
  </si>
  <si>
    <t>Kg/m3</t>
  </si>
  <si>
    <t>lb/ft3</t>
  </si>
  <si>
    <t>lb/plg3</t>
  </si>
  <si>
    <t>g/cm3</t>
  </si>
  <si>
    <t>Cp (Calor específico)</t>
  </si>
  <si>
    <t>J/Kg.K</t>
  </si>
  <si>
    <t>Kcal/Kg.ºC</t>
  </si>
  <si>
    <t>Coeficiente de transferencia de calor</t>
  </si>
  <si>
    <t>W/m2.K</t>
  </si>
  <si>
    <t>BTU/h.ft2.F</t>
  </si>
  <si>
    <t>cal/s.cm2.ºC</t>
  </si>
  <si>
    <t>W/cm2.ºC</t>
  </si>
  <si>
    <t>kcal/h.m2.ºC</t>
  </si>
  <si>
    <t>BTU/h.ft2.ºF</t>
  </si>
  <si>
    <t>Conductividad.Termica</t>
  </si>
  <si>
    <t>W/m2.ºC/m</t>
  </si>
  <si>
    <t>BTU/h.ft2.°F/ft</t>
  </si>
  <si>
    <t>cal/s.cm2.°C/cm</t>
  </si>
  <si>
    <t>W/cm2.ºC/cm</t>
  </si>
  <si>
    <t>kcal/h.m2.°C/m</t>
  </si>
  <si>
    <t>CAUDAL MASICO</t>
  </si>
  <si>
    <t>Kg/h</t>
  </si>
  <si>
    <t>Kg/s</t>
  </si>
  <si>
    <t>g/h</t>
  </si>
  <si>
    <t>g/s</t>
  </si>
  <si>
    <t>lb/h</t>
  </si>
  <si>
    <t>lb/s</t>
  </si>
  <si>
    <t>CAUDAL VOLUMETRICO</t>
  </si>
  <si>
    <t>ft3/s</t>
  </si>
  <si>
    <t>ft3/h</t>
  </si>
  <si>
    <t>gal/s</t>
  </si>
  <si>
    <t>gal/h</t>
  </si>
  <si>
    <t>m3/s</t>
  </si>
  <si>
    <t>m3/h</t>
  </si>
  <si>
    <t>cm3/s</t>
  </si>
  <si>
    <t>cm3/h</t>
  </si>
  <si>
    <t>l/s</t>
  </si>
  <si>
    <t>l/h</t>
  </si>
  <si>
    <t>Diagrama Num: 1</t>
  </si>
  <si>
    <t>Hoja Núm    de</t>
  </si>
  <si>
    <t>Resumen</t>
  </si>
  <si>
    <t xml:space="preserve">Objeto: </t>
  </si>
  <si>
    <t>Actividad</t>
  </si>
  <si>
    <t>Actual</t>
  </si>
  <si>
    <t>Propuesta</t>
  </si>
  <si>
    <t>Economía</t>
  </si>
  <si>
    <t>Operación
Transporte
Espera
Inspección
Almacenamiento</t>
  </si>
  <si>
    <t>Actividad: 
Método: Actual/Propuesto</t>
  </si>
  <si>
    <t>Lugar:</t>
  </si>
  <si>
    <t>Operario (s):</t>
  </si>
  <si>
    <t>Ficha núm:</t>
  </si>
  <si>
    <t>Distancia (m)</t>
  </si>
  <si>
    <t>Tiempo (min-hombre)</t>
  </si>
  <si>
    <t>Compuesto por:
Aprobado por:</t>
  </si>
  <si>
    <t>Fecha:
Fecha:</t>
  </si>
  <si>
    <t>Costo
 - Mano de obra
 - Material</t>
  </si>
  <si>
    <t>Total</t>
  </si>
  <si>
    <t>Descripción</t>
  </si>
  <si>
    <t>Cantidad</t>
  </si>
  <si>
    <t>Tiempo</t>
  </si>
  <si>
    <t>Distancia</t>
  </si>
  <si>
    <t>Simbolo</t>
  </si>
  <si>
    <t>Observaciones</t>
  </si>
  <si>
    <t>Diagrama Bimanual</t>
  </si>
  <si>
    <t>Diagrama Num.</t>
  </si>
  <si>
    <t>Hoja Num.     de</t>
  </si>
  <si>
    <t>Dibujo y Pieza:</t>
  </si>
  <si>
    <t>Operación:</t>
  </si>
  <si>
    <t xml:space="preserve">Metodo : </t>
  </si>
  <si>
    <t>Actual / Propuesto</t>
  </si>
  <si>
    <t>Operario (s) :</t>
  </si>
  <si>
    <t>Ficha Num.</t>
  </si>
  <si>
    <t>Compuesto por:</t>
  </si>
  <si>
    <t>Fecha:</t>
  </si>
  <si>
    <t>Aprobado por:</t>
  </si>
  <si>
    <t>Descripcion Mano Izquierda</t>
  </si>
  <si>
    <t>DIAGRAMA DE ISHIKAWA</t>
  </si>
  <si>
    <t>La empresa de textil tiene 3 turnos de trabajo de 8 horas cada turno y produce 30 dias al mes . Este mes de abril sus clientes le han solicitado unos pedidos que sumas 100 unidades por dia que al mes son 3000 unidades</t>
  </si>
  <si>
    <t xml:space="preserve">tiempo disponible </t>
  </si>
  <si>
    <t>juntas 10 min x turno = 600seg x 3 turnos = 1800 seg</t>
  </si>
  <si>
    <t>Unidad/modelo</t>
  </si>
  <si>
    <t>Demanda</t>
  </si>
  <si>
    <t>porcentaje acumulado</t>
  </si>
  <si>
    <t>porcentaje</t>
  </si>
  <si>
    <t>PRODUCTO 1</t>
  </si>
  <si>
    <t>PRODUCTO 2</t>
  </si>
  <si>
    <t>PRODUCTO 3</t>
  </si>
  <si>
    <t>PRODUCTO 4</t>
  </si>
  <si>
    <t>PRODUCTO 5</t>
  </si>
  <si>
    <t>LOTE DE PRODUCCION = Q = LOTE DE TRANSFERENCIA</t>
  </si>
  <si>
    <t>Tiempo (seg)</t>
  </si>
  <si>
    <t>PUESTO 1</t>
  </si>
  <si>
    <t>PIEZA 1</t>
  </si>
  <si>
    <t>PIEZA 2</t>
  </si>
  <si>
    <t>PIEZA 3</t>
  </si>
  <si>
    <t>PIEZA 4</t>
  </si>
  <si>
    <t>PIEZA 5</t>
  </si>
  <si>
    <t>PIEZA 6</t>
  </si>
  <si>
    <t>PIEZA 7</t>
  </si>
  <si>
    <t>PIEZA 8</t>
  </si>
  <si>
    <t>PIEZA 9</t>
  </si>
  <si>
    <t>PIEZA 10</t>
  </si>
  <si>
    <t>INACTIVIDAD O PROCESO SIGUIENTE</t>
  </si>
  <si>
    <t>CAPACIDAD DE ALMACEN 10 PIEZAS</t>
  </si>
  <si>
    <t>ALMACEN INTERMEDIO CAPACIDAD: 10 PIEZAS</t>
  </si>
  <si>
    <t>PUESTO 2</t>
  </si>
  <si>
    <t>INACTIVIDAD O PROCESO ANTERIOR</t>
  </si>
  <si>
    <t>PRODUCTO TERMINADO</t>
  </si>
  <si>
    <t>LEAD TIME: 200 SEGUNDOS</t>
  </si>
  <si>
    <t>LOTE DE PRODUCCION = Q, LOTE DE TRANSFERENCIA = 1</t>
  </si>
  <si>
    <t>LEAD TIME: 110 SEGUNDOS</t>
  </si>
  <si>
    <t>GRAFICO EVOLUCION DE STOCK SEGÚN LOTE DE TRANSFERENCIA</t>
  </si>
  <si>
    <t>DIAGRAMA HOMBRE - MAQUINA</t>
  </si>
  <si>
    <r>
      <t xml:space="preserve">Proceso: </t>
    </r>
    <r>
      <rPr>
        <sz val="12"/>
        <rFont val="Arial"/>
        <family val="2"/>
      </rPr>
      <t xml:space="preserve"> </t>
    </r>
  </si>
  <si>
    <t>Hoja N°__1___   De:_1_   Diagrama N°:_01_</t>
  </si>
  <si>
    <t xml:space="preserve">Fecha: </t>
  </si>
  <si>
    <t>Elaborado por:</t>
  </si>
  <si>
    <t>Área:</t>
  </si>
  <si>
    <r>
      <t>Operario:</t>
    </r>
    <r>
      <rPr>
        <sz val="12"/>
        <rFont val="Arial"/>
        <family val="2"/>
      </rPr>
      <t xml:space="preserve"> </t>
    </r>
  </si>
  <si>
    <t>Operario 1</t>
  </si>
  <si>
    <t>Operario 2</t>
  </si>
  <si>
    <t>Máquina 1</t>
  </si>
  <si>
    <t>Máquina 2</t>
  </si>
  <si>
    <t>Máquina 3</t>
  </si>
  <si>
    <t>Máquina 4</t>
  </si>
  <si>
    <t>Uso</t>
  </si>
  <si>
    <t>X</t>
  </si>
  <si>
    <t>Preparación de materiales M1</t>
  </si>
  <si>
    <t>Preparación de materiales M2</t>
  </si>
  <si>
    <t>Cargar Máquina 1</t>
  </si>
  <si>
    <t>Cargar Máquina 2</t>
  </si>
  <si>
    <t>Preparación de materiales M3</t>
  </si>
  <si>
    <t>Transformar materiales</t>
  </si>
  <si>
    <t>Cargar Máquina 3</t>
  </si>
  <si>
    <t>Descargar Máquina 1</t>
  </si>
  <si>
    <t>Descargar Máquina 2</t>
  </si>
  <si>
    <t>Descargar Máquina 3</t>
  </si>
  <si>
    <t>Resumen y Análisis de la información</t>
  </si>
  <si>
    <t>Tipo</t>
  </si>
  <si>
    <t>Tiempo del Ciclo</t>
  </si>
  <si>
    <t>Tiempo de Acción</t>
  </si>
  <si>
    <t>Tiempo de Inactividad</t>
  </si>
  <si>
    <t>% UTILIZACIÓN</t>
  </si>
  <si>
    <t>MUESTRA</t>
  </si>
  <si>
    <t>Mediciones de longitud</t>
  </si>
  <si>
    <t>x1</t>
  </si>
  <si>
    <t>x2</t>
  </si>
  <si>
    <t>x3</t>
  </si>
  <si>
    <t>x4</t>
  </si>
  <si>
    <t>x5</t>
  </si>
  <si>
    <t>media</t>
  </si>
  <si>
    <t>LSE</t>
  </si>
  <si>
    <t>LIE</t>
  </si>
  <si>
    <t>DESV EST</t>
  </si>
  <si>
    <t>USL =</t>
  </si>
  <si>
    <t>LSL=</t>
  </si>
  <si>
    <t>xmed=</t>
  </si>
  <si>
    <t>CP</t>
  </si>
  <si>
    <t>Cpi</t>
  </si>
  <si>
    <t>CPs</t>
  </si>
  <si>
    <t>MEDIA</t>
  </si>
  <si>
    <t>DESV EST P</t>
  </si>
  <si>
    <t>COMO MEDIR LA PRODUCTIVIDAD</t>
  </si>
  <si>
    <t>personas</t>
  </si>
  <si>
    <t>produccion por hora</t>
  </si>
  <si>
    <t>1000 unidades</t>
  </si>
  <si>
    <t>productividad</t>
  </si>
  <si>
    <t>1000/10</t>
  </si>
  <si>
    <t>1000/8</t>
  </si>
  <si>
    <t>100 und/hh</t>
  </si>
  <si>
    <t>125 und/h</t>
  </si>
  <si>
    <t>Determina la productividad de las siguientes lineas de produccion de una planta</t>
  </si>
  <si>
    <t>linea</t>
  </si>
  <si>
    <t>trabajadores</t>
  </si>
  <si>
    <t>und x hora</t>
  </si>
  <si>
    <t>prd</t>
  </si>
  <si>
    <t>Una lavanderia lavo y plancho las siguientes cantidades de camisas por semana</t>
  </si>
  <si>
    <t>semana</t>
  </si>
  <si>
    <t>trabadjores</t>
  </si>
  <si>
    <t>total de horas</t>
  </si>
  <si>
    <t>camisas</t>
  </si>
  <si>
    <t>ana y javier</t>
  </si>
  <si>
    <t>Ana y Esteban</t>
  </si>
  <si>
    <t>Ana, Javier y Esteban</t>
  </si>
  <si>
    <t>Javier y Esteban</t>
  </si>
  <si>
    <t>Tres empleados procesan 600 polizas de seguros en una semana. Trabajan 8 horas diarias durante 5 dias a la semana.</t>
  </si>
  <si>
    <t>calcula la productividad.</t>
  </si>
  <si>
    <t>Productividad= polizas/personas*dias*horas</t>
  </si>
  <si>
    <t>Un equipo de trabajadores fabrica 400 unidades de un producto, el cual se valora de acuerdo con su costo estandar de $10 c/u.</t>
  </si>
  <si>
    <t>El departamento de contabilidad informa que, para este trabajo, los costos reales son de $400 por mano de obra, $1000 por materiales y $300 por gastos generales. Se desea calcular la productividad de ese proceso.</t>
  </si>
  <si>
    <t>productividad=unidades*ingreso/nomina+materiales+gastos</t>
  </si>
  <si>
    <t>Producto</t>
  </si>
  <si>
    <t>por cada peso gastado me quedan 2.35 de utilidad</t>
  </si>
  <si>
    <t>recurso</t>
  </si>
  <si>
    <t>1-</t>
  </si>
  <si>
    <t>Una empresa de lacteos tiene 3 maquinas envasadoras, según el catalogo de los equipos, las maquinas estan en capacidad de depositar 10 litros de liquido por minuto cada una. El ingeniero de produccion afirma que los equipos trabajan a una eficiencia del 90%.</t>
  </si>
  <si>
    <t>El mes pasado en 25 dias de trabajo a razon de 16 horas-dia entregaron un total de 170,500 litros. Se requiere conocer la capacidad teorica y efectiva de los equipos, asi como los indicadores de utilizacion y eficiencia.</t>
  </si>
  <si>
    <t>N de maquinas estandar</t>
  </si>
  <si>
    <t>estandar (litros/min)</t>
  </si>
  <si>
    <t>dias/mes</t>
  </si>
  <si>
    <t>horas/dia</t>
  </si>
  <si>
    <t>capacidad diseñada/mes</t>
  </si>
  <si>
    <t>Eficiencia</t>
  </si>
  <si>
    <t>capacidad efectiva</t>
  </si>
  <si>
    <t>capacidad real</t>
  </si>
  <si>
    <t>utilizacion</t>
  </si>
  <si>
    <t>eficiencia</t>
  </si>
  <si>
    <t>utilizacion= capacidad real o utlizada/capacidad teorica</t>
  </si>
  <si>
    <t>eficiencia= capacidad real/capacidad efectiva</t>
  </si>
  <si>
    <t>2-</t>
  </si>
  <si>
    <t>El ingeniero de una planta de manufactura, mediante un estudio de tiempos y movimientos, fijo el estandar de produccion de un producto en 720 unidades por hora, con una linea de 7 personas. Ademas realizo un estudio en el que determino que la eficiencia de la planta de produccion es del 80%, argumentando que el 20% rstante se esta perdiendo por temas relacionados a la rotacion del personal, los cambios de turnos, algunos daños de los equipos, entre otros.</t>
  </si>
  <si>
    <t>El gerente de planta requiere saber, cuantas unidades de ese producto se obtendrian en una semana de 6 dias a razon en 8 horas de trabajo.</t>
  </si>
  <si>
    <t>Estandar (unid/hora)</t>
  </si>
  <si>
    <t>dias/semana</t>
  </si>
  <si>
    <t>horas x dia</t>
  </si>
  <si>
    <t>capacidad teorica</t>
  </si>
  <si>
    <t>3-</t>
  </si>
  <si>
    <t>Una planta manufacturera tiene dos lineas de produccion en las que puede trabajar cualquiera de los siguientes productos</t>
  </si>
  <si>
    <t>El ingeniero desea saber, si las dos lineas son suficientes si se trabajan a un turno de 8 horas, o cual es la mejor estrategia.</t>
  </si>
  <si>
    <t>producto</t>
  </si>
  <si>
    <t>cantidad semanal</t>
  </si>
  <si>
    <t>estandar produccion (und/hora)</t>
  </si>
  <si>
    <t>tamaño lote</t>
  </si>
  <si>
    <t>tiempo de alistamiento (horas)</t>
  </si>
  <si>
    <t>N de lotes</t>
  </si>
  <si>
    <t>tiempo de alistamiento TOTAL</t>
  </si>
  <si>
    <t>Tiempo horas de produccion</t>
  </si>
  <si>
    <t>Tiempo total (horas)</t>
  </si>
  <si>
    <t>horas requeridas</t>
  </si>
  <si>
    <t>N de lineas</t>
  </si>
  <si>
    <t>dias semana</t>
  </si>
  <si>
    <t>horas - dia</t>
  </si>
  <si>
    <t>capacidad diseñada</t>
  </si>
  <si>
    <t>capacidad efectiva (horas semana)</t>
  </si>
  <si>
    <t>mayor a 100% sobre ocupacion</t>
  </si>
  <si>
    <t>80% - 90% ideal</t>
  </si>
  <si>
    <t>menor de 100% sub ocupacion</t>
  </si>
  <si>
    <t>unidades homologables - factor de homologacion</t>
  </si>
  <si>
    <t>horas - tiempo</t>
  </si>
  <si>
    <t>T.Est (seg/und)</t>
  </si>
  <si>
    <t>und/min</t>
  </si>
  <si>
    <t>Desempacar de corrugado</t>
  </si>
  <si>
    <t>colocar un codigo de barras</t>
  </si>
  <si>
    <t>embolsar</t>
  </si>
  <si>
    <t>Sellar</t>
  </si>
  <si>
    <t>Termoencoger</t>
  </si>
  <si>
    <t>Empacar en corrugado</t>
  </si>
  <si>
    <t>Linea 1</t>
  </si>
  <si>
    <t>Linea 2</t>
  </si>
  <si>
    <t>Linea 3</t>
  </si>
  <si>
    <t>Determinar</t>
  </si>
  <si>
    <t>1- Rendimiento por hora</t>
  </si>
  <si>
    <t>2- duracion del proceso para un lote de 12000 und</t>
  </si>
  <si>
    <t>3- productividad de cada linea</t>
  </si>
  <si>
    <t>4- Eficiencia de cada linea</t>
  </si>
  <si>
    <t xml:space="preserve">5- costo de produccion teniendo en cuenta un valor de hora hombre $ 12000 </t>
  </si>
  <si>
    <t>unidades totales</t>
  </si>
  <si>
    <t>Tiempo maximo</t>
  </si>
  <si>
    <t>Rend/hora</t>
  </si>
  <si>
    <t>und/hora</t>
  </si>
  <si>
    <t>Duracion</t>
  </si>
  <si>
    <t>horas</t>
  </si>
  <si>
    <t>Personas</t>
  </si>
  <si>
    <t>Productividad</t>
  </si>
  <si>
    <t>und/hora*persona</t>
  </si>
  <si>
    <t>HH</t>
  </si>
  <si>
    <t>horas hombre</t>
  </si>
  <si>
    <t>Costo</t>
  </si>
  <si>
    <t>MEJOR OPCION</t>
  </si>
  <si>
    <t>CLIENTE</t>
  </si>
  <si>
    <t>SERVICIO DE MENSAJERIA</t>
  </si>
  <si>
    <t>CAJERO</t>
  </si>
  <si>
    <t xml:space="preserve">BASE DE DATOS </t>
  </si>
  <si>
    <t>ALMACEN</t>
  </si>
  <si>
    <t>CROSS FUNCTIONAL MAP</t>
  </si>
  <si>
    <t>Dureza</t>
  </si>
  <si>
    <t>TIPO DE RELACION NEGATIVA</t>
  </si>
  <si>
    <t>Por cada unidad de aumento en el tiempo de solidificacion, la dureza disminuye 0.2691 unidades. Como el rango de los datos no incluye x=0, la constante 7.11 no tiene significado.</t>
  </si>
  <si>
    <t>INTERPRETACION</t>
  </si>
  <si>
    <t>Variable de salida</t>
  </si>
  <si>
    <t>Tiempo de solidificacion</t>
  </si>
  <si>
    <t>Variable de entrada</t>
  </si>
  <si>
    <t>Identificar las etapas o actividades del proceso</t>
  </si>
  <si>
    <t>Definir los actores o responsables del proceso</t>
  </si>
  <si>
    <t>Acomodar la secuencia o actividades del proceso según el actor o respecto al tiempo</t>
  </si>
  <si>
    <t>4-</t>
  </si>
  <si>
    <t>Validar el mapa</t>
  </si>
  <si>
    <t>PROCESO DE CROSS FUNCTIONAL MAP</t>
  </si>
  <si>
    <t xml:space="preserve">Nombre </t>
  </si>
  <si>
    <t>Asistió</t>
  </si>
  <si>
    <t>Invitados</t>
  </si>
  <si>
    <t>Numero</t>
  </si>
  <si>
    <t>Tema</t>
  </si>
  <si>
    <t>Agenda</t>
  </si>
  <si>
    <t>Fecha</t>
  </si>
  <si>
    <t>Estatus</t>
  </si>
  <si>
    <t>Acuerdo</t>
  </si>
  <si>
    <t>Responsables</t>
  </si>
  <si>
    <t>Acuerdos</t>
  </si>
  <si>
    <t>Siguiente junta</t>
  </si>
  <si>
    <t>Hora:</t>
  </si>
  <si>
    <t>Comentarios y observaciones</t>
  </si>
  <si>
    <t>Tema de la junta</t>
  </si>
  <si>
    <t>Hora programada</t>
  </si>
  <si>
    <t>Hora de inicio</t>
  </si>
  <si>
    <t>Hora de cierre</t>
  </si>
  <si>
    <t>Numero de junta</t>
  </si>
  <si>
    <t>lugar</t>
  </si>
  <si>
    <t>MINUTA DE REUNIÓN</t>
  </si>
  <si>
    <t>Maquina</t>
  </si>
  <si>
    <t>Antes</t>
  </si>
  <si>
    <t>Revisar nivel de lubricante en guias de mesa</t>
  </si>
  <si>
    <t>Revisar nivel de aceite de corte</t>
  </si>
  <si>
    <t>Revisar nivel de aceite hidraulico</t>
  </si>
  <si>
    <t>Revisar presión de la bomba hidraulica</t>
  </si>
  <si>
    <t>Durante</t>
  </si>
  <si>
    <t>Verificar que la rebaba no se atore en el extractor</t>
  </si>
  <si>
    <t>Identificar ruidos anormales</t>
  </si>
  <si>
    <t>Revisar micros de seguridad</t>
  </si>
  <si>
    <t>Limpiar piso y lineas de refrigerante</t>
  </si>
  <si>
    <t>Mantener limpia el area en general</t>
  </si>
  <si>
    <t>Final</t>
  </si>
  <si>
    <t>Lubricar puntos diarios</t>
  </si>
  <si>
    <t>Limpieza de maquina y area de trabajo</t>
  </si>
  <si>
    <t>Limpiar acumulamientos de rebaba</t>
  </si>
  <si>
    <t>MES</t>
  </si>
  <si>
    <t>REGISTRO DE MANTENIMIENTO AUTONOMO</t>
  </si>
  <si>
    <t xml:space="preserve">Supervisó </t>
  </si>
  <si>
    <t>Comentarios:</t>
  </si>
  <si>
    <t>DESPERDICIOS</t>
  </si>
  <si>
    <t>OBSERVACIONES</t>
  </si>
  <si>
    <t>CAMBIOS DESEADOS</t>
  </si>
  <si>
    <t>ACCIONES DE MEJORA</t>
  </si>
  <si>
    <t>SOBREPRODUCCIÓN</t>
  </si>
  <si>
    <t>TRANSPORTE</t>
  </si>
  <si>
    <t>TIEMPO DE ESPERA</t>
  </si>
  <si>
    <t>EXCESO DE PROCESOS</t>
  </si>
  <si>
    <t>INVENTARIO</t>
  </si>
  <si>
    <t>MOVIMIENTOS</t>
  </si>
  <si>
    <t>DEFECTOS</t>
  </si>
  <si>
    <t>TALENTO SUBUTILIZADO</t>
  </si>
  <si>
    <t>HOJA DE IDENTIFICACIÓN DE DESPERDICIOS</t>
  </si>
  <si>
    <t>Departamento donde se detecta el desperdicio:</t>
  </si>
  <si>
    <t>Area :</t>
  </si>
  <si>
    <t>Nombre del ingeniero:</t>
  </si>
  <si>
    <t>Dias</t>
  </si>
  <si>
    <t>SWIP</t>
  </si>
  <si>
    <t>WIP</t>
  </si>
  <si>
    <t>Resultado</t>
  </si>
  <si>
    <t>Lunes</t>
  </si>
  <si>
    <t>Martes</t>
  </si>
  <si>
    <t>Miercoles</t>
  </si>
  <si>
    <t>Jueves</t>
  </si>
  <si>
    <t xml:space="preserve">Viernes </t>
  </si>
  <si>
    <t>Sabado</t>
  </si>
  <si>
    <t>El wip to swip se calcula diviendo la cantidad de inventario dentro de la celda (WIP) entre la cantidad de inventario estandar de la celda (SWIP)</t>
  </si>
  <si>
    <t>El resultado ideal es 1, lo cual significa que el WIP es igual al SWIP.</t>
  </si>
  <si>
    <t>Si el resultado es mayor que 1, entonces se tiene mucho inventario en la celda.</t>
  </si>
  <si>
    <t>Si el resultado es menor que 1, entonces se tiene poco inventario y existe el riesgo de que la celda se quede corta de producción.</t>
  </si>
  <si>
    <t>WIP TO SWIP</t>
  </si>
  <si>
    <t>PROCESO 1</t>
  </si>
  <si>
    <t>PROCESO 2</t>
  </si>
  <si>
    <t xml:space="preserve">PROCESO 3 </t>
  </si>
  <si>
    <t>PROCESO 4</t>
  </si>
  <si>
    <t>ENTRADA</t>
  </si>
  <si>
    <t>SALIDA</t>
  </si>
  <si>
    <t>RENDIMIENTO</t>
  </si>
  <si>
    <t>RTG</t>
  </si>
  <si>
    <t>Esto significa que existe una probabilidad de 90 % de que una pieza complete cada paso con cero defectos</t>
  </si>
  <si>
    <t>UNIDADES DEFECTUOSAS</t>
  </si>
  <si>
    <t>CALCULO DE RENDIMIENTO TOTAL GLOBAL</t>
  </si>
  <si>
    <t>RENDIMIENTO TOTAL GLOBAL</t>
  </si>
  <si>
    <t>TIEMPO DISPONIBLE</t>
  </si>
  <si>
    <t>(8 horas - 30 minutos de descanso)</t>
  </si>
  <si>
    <t>DEMANDA DIARIA</t>
  </si>
  <si>
    <t>Piezas por dia</t>
  </si>
  <si>
    <t>TIEMPO TAKT=</t>
  </si>
  <si>
    <t>segundos por pieza</t>
  </si>
  <si>
    <t>CALCULO DEL PITCH PARA CADA PRODUCTO</t>
  </si>
  <si>
    <t>piezas por caja</t>
  </si>
  <si>
    <t>PITCH:</t>
  </si>
  <si>
    <t>/</t>
  </si>
  <si>
    <t>PRODUCTO 1=</t>
  </si>
  <si>
    <t>PRODUCTO 2=</t>
  </si>
  <si>
    <t>PRODUCTO 3=</t>
  </si>
  <si>
    <t>PRODUCTO 4=</t>
  </si>
  <si>
    <t>=</t>
  </si>
  <si>
    <t>min</t>
  </si>
  <si>
    <t>ESTABLECER EL RITMO DE PRODUCCIÓN</t>
  </si>
  <si>
    <t>Tomamos el valor mas bajo de los calculos del pitch, que en este caso es 12 minutos</t>
  </si>
  <si>
    <t>suponiendo que la producción inicia a las 8:00 h, la secuencia quedaria como sigue: 8:00, 8:12, 8:24, 8:36…</t>
  </si>
  <si>
    <t>Metrico</t>
  </si>
  <si>
    <t>Meta</t>
  </si>
  <si>
    <t>Logrado</t>
  </si>
  <si>
    <t>Ahorro</t>
  </si>
  <si>
    <t>Recurso</t>
  </si>
  <si>
    <t>Miembros</t>
  </si>
  <si>
    <t>AVANCE</t>
  </si>
  <si>
    <t>Lider</t>
  </si>
  <si>
    <t>Colider</t>
  </si>
  <si>
    <t>Patrocinador</t>
  </si>
  <si>
    <t>Nombre</t>
  </si>
  <si>
    <t>Telefono</t>
  </si>
  <si>
    <t>Fecha inicio</t>
  </si>
  <si>
    <t>Fecha final</t>
  </si>
  <si>
    <t>Objetivos</t>
  </si>
  <si>
    <t>Alcance</t>
  </si>
  <si>
    <t>Proyecto</t>
  </si>
  <si>
    <t>Resumen de ahorros</t>
  </si>
  <si>
    <t>Concepto</t>
  </si>
  <si>
    <t>Validador</t>
  </si>
  <si>
    <t>Resumen de acciones realizadas</t>
  </si>
  <si>
    <t>Acción</t>
  </si>
  <si>
    <t>Inversiones realizadas</t>
  </si>
  <si>
    <t>Comentarios</t>
  </si>
  <si>
    <t>EVENTO KAIZEN</t>
  </si>
  <si>
    <t>5 S</t>
  </si>
  <si>
    <t>GANTT</t>
  </si>
  <si>
    <t>Modo de falla</t>
  </si>
  <si>
    <t>Efecto potencial del fallo</t>
  </si>
  <si>
    <t>Controles actuales</t>
  </si>
  <si>
    <t>O</t>
  </si>
  <si>
    <t>Indice prioritario del riesgo (NPR)</t>
  </si>
  <si>
    <t>Estado y accion recomendada</t>
  </si>
  <si>
    <t>Area responsable de la acción correctora</t>
  </si>
  <si>
    <t>Accion correctora</t>
  </si>
  <si>
    <t>Causa potencial del fallo</t>
  </si>
  <si>
    <t>Fecha AMEF inicial:</t>
  </si>
  <si>
    <t>Producto:</t>
  </si>
  <si>
    <t>Nombre del proceso:</t>
  </si>
  <si>
    <t>Proveedor del material:</t>
  </si>
  <si>
    <t>Fecha de fabricación:</t>
  </si>
  <si>
    <t>Supervisor:</t>
  </si>
  <si>
    <t>Nombre y firma</t>
  </si>
  <si>
    <t>Fecha AMEF ultima revisión:</t>
  </si>
  <si>
    <t>Condiciones existentes</t>
  </si>
  <si>
    <t>Resultados</t>
  </si>
  <si>
    <t>AMEF: ANALISIS MODAL DE FALLOS Y EFECTOS POTENCIALES (PROCESO)</t>
  </si>
  <si>
    <t>PROPOSITO</t>
  </si>
  <si>
    <t>Que se hace en realidad?</t>
  </si>
  <si>
    <t>Que se obtiene en realidad?</t>
  </si>
  <si>
    <t>Por que hay que hacerlo?</t>
  </si>
  <si>
    <t>LUGAR</t>
  </si>
  <si>
    <t>Donde se hace?</t>
  </si>
  <si>
    <t>Por que se hace alli?</t>
  </si>
  <si>
    <t>SUCESION</t>
  </si>
  <si>
    <t>Cuando se hace?</t>
  </si>
  <si>
    <t>Por que se hace en ese momento?</t>
  </si>
  <si>
    <t>PERSONA</t>
  </si>
  <si>
    <t>Quien lo hace?</t>
  </si>
  <si>
    <t>Por que lo hace ese operario?</t>
  </si>
  <si>
    <t>METODO</t>
  </si>
  <si>
    <t>Como se hace?</t>
  </si>
  <si>
    <t>Por que se hace de ese modo?</t>
  </si>
  <si>
    <t>MATERIALES Y TRANSPORTE</t>
  </si>
  <si>
    <t>Son los adecuados?</t>
  </si>
  <si>
    <t>Se podria utilizar otros de menor coste?</t>
  </si>
  <si>
    <t>Se podria utilizar otros que generasen menos desechos?</t>
  </si>
  <si>
    <t>Se emplean los medios adecuados para el transporte?</t>
  </si>
  <si>
    <t>Esta situado el almacen en un lugar adecuado, logico?</t>
  </si>
  <si>
    <t>OPERACIONES</t>
  </si>
  <si>
    <t>Se podria hacer de forma mas rapida y economica?</t>
  </si>
  <si>
    <t>Se utiliza el mejor procedimiento?</t>
  </si>
  <si>
    <t>Esta especializado en su trabajo?</t>
  </si>
  <si>
    <t>Se podria poner en ese puesto de trabajo a otro trabajador menos cualificado y, por tanto, menos costo para la empresa?</t>
  </si>
  <si>
    <t>HERRAMIENTAS Y EQUIPO</t>
  </si>
  <si>
    <t>Estan en buenas condiciones de utilización?</t>
  </si>
  <si>
    <t>La maquinaria utilizada es la mas moderna, la mas adecuada?</t>
  </si>
  <si>
    <t>Se realiza un adecuado mantenimiento de ellos?</t>
  </si>
  <si>
    <t>CONDICIONES DE TRABAJO</t>
  </si>
  <si>
    <t>Hay buenas condiciones fisicas de trabajo: ventilación, iluminación, temperatura, ruidos, etc?</t>
  </si>
  <si>
    <t>Hay un buen ambiente de trabajo?</t>
  </si>
  <si>
    <t>DISEÑO DEL PRODUCTO</t>
  </si>
  <si>
    <t>Es el mejor diseño que se utiliza?</t>
  </si>
  <si>
    <t>Se podria cambiar el producto por otro de menores dimensiones (peso o volumen) que resultara menos costoso para la empresa ?</t>
  </si>
  <si>
    <t>PREGUNTAS</t>
  </si>
  <si>
    <t>RESPUESTAS</t>
  </si>
  <si>
    <t>CALCULO PARA CAJA HEIJUNKA</t>
  </si>
  <si>
    <t>NUMERO DE PIEZAS POR CAJA</t>
  </si>
  <si>
    <t>Inventario</t>
  </si>
  <si>
    <t>PLANIFICACIÓN DE REQUERIMIENTOS DE MATERIAL</t>
  </si>
  <si>
    <t>TAKT TIME</t>
  </si>
  <si>
    <t>takt time</t>
  </si>
  <si>
    <t>MAS PRODUCTIVO</t>
  </si>
  <si>
    <t>Lubricar filtros de unidad de mantenimiento</t>
  </si>
  <si>
    <t>Engrasar cilindro vacio</t>
  </si>
  <si>
    <t>Engrasar registros de mecanismos de registro</t>
  </si>
  <si>
    <t>Engrsar base corrediza de marco</t>
  </si>
  <si>
    <t>SEMESTRAL</t>
  </si>
  <si>
    <t>MENSUAL</t>
  </si>
  <si>
    <t>SEMANAL</t>
  </si>
  <si>
    <t>Revisar rodamientos</t>
  </si>
  <si>
    <t>Cambiar aceite</t>
  </si>
  <si>
    <t>ANUAL</t>
  </si>
  <si>
    <t>Revisar conexiones</t>
  </si>
  <si>
    <t>Reapretar tornilleria</t>
  </si>
  <si>
    <t>Cambiar filtros</t>
  </si>
  <si>
    <t>Limpiar a fondo la maquina</t>
  </si>
  <si>
    <t>DIAS</t>
  </si>
  <si>
    <t>ACTIVIDADES</t>
  </si>
  <si>
    <t>Supervisó</t>
  </si>
  <si>
    <t>MANTENIMIENTO PREVENTIVO</t>
  </si>
  <si>
    <t>Revisar calibración</t>
  </si>
  <si>
    <t>ACCIONES DE EMERGENCIA</t>
  </si>
  <si>
    <t>Acciones de emergencia</t>
  </si>
  <si>
    <t>Responsable</t>
  </si>
  <si>
    <t>CUANDO:</t>
  </si>
  <si>
    <t>ES</t>
  </si>
  <si>
    <t xml:space="preserve">NO ES </t>
  </si>
  <si>
    <t>DONDE:</t>
  </si>
  <si>
    <t>COMO:</t>
  </si>
  <si>
    <t>CUANTOS:</t>
  </si>
  <si>
    <t>VERIFICACION DE EFECTIVIDAD</t>
  </si>
  <si>
    <t>Preparado por:</t>
  </si>
  <si>
    <t>Revisado por:</t>
  </si>
  <si>
    <t>Area o maquina</t>
  </si>
  <si>
    <t>No de reporte</t>
  </si>
  <si>
    <t>ANALISIS Y SOLUCION DE PROBLEMAS CON 8Ds</t>
  </si>
  <si>
    <t>3A. DESCRIPCIÓN DEL PROCESO ACTUAL</t>
  </si>
  <si>
    <t>4. ACCIONES DE CONTENCIÓN</t>
  </si>
  <si>
    <t>1. DEFINICION DEL PROBLEMA</t>
  </si>
  <si>
    <t>3. DESCRIPCION DEL PROBLEMA</t>
  </si>
  <si>
    <t>5. CAUSA RAIZ</t>
  </si>
  <si>
    <t>6. ACCIONES CORRECTIVAS PERMANENTES</t>
  </si>
  <si>
    <t>7. ACCIONES PREVENTIVAS</t>
  </si>
  <si>
    <t>2. MIEMBROS DEL EQUIPO PARA LA SOLUCION DEL PROBLEMA</t>
  </si>
  <si>
    <t>INVENTARIO DE PRODUCTO EN PROCESO</t>
  </si>
  <si>
    <t>INVENTARIO ESTANDAR DE LA CELDA</t>
  </si>
  <si>
    <t>DIAGRAMA DE CORRELACIÓN</t>
  </si>
  <si>
    <t>Diagrama de procesos</t>
  </si>
  <si>
    <t>CAPACIDAD DE PRODUCCIÓN</t>
  </si>
  <si>
    <r>
      <t>Pitch</t>
    </r>
    <r>
      <rPr>
        <sz val="14"/>
        <color rgb="FFC00000"/>
        <rFont val="Arial"/>
        <family val="2"/>
      </rPr>
      <t> representa el tiempo de producción y empaque de una unidad de producción en su correspondiente unidad logística</t>
    </r>
  </si>
  <si>
    <t>PITCH = TAKT*PIEZAS POR CAJA/60</t>
  </si>
  <si>
    <t>FORMULA</t>
  </si>
  <si>
    <t>TECNICA DEL INTERROGATORIO PARA ANALISIS DEL METODO</t>
  </si>
  <si>
    <t>seg/unidad</t>
  </si>
  <si>
    <t>1800 seg/dia*30 dias = 54,000 segundos</t>
  </si>
  <si>
    <t>2,592,000 segundos - 54,000 segundos = 2,538,000 segundos</t>
  </si>
  <si>
    <t>EFECTIVIDAD TOTAL DE LOS EQUIPOS</t>
  </si>
  <si>
    <t>MAQUINA O LINEA DE PRODUCCIÓN</t>
  </si>
  <si>
    <t>TIEMPO PLANEADO (COMIDA, REUNIONES, ETC.)</t>
  </si>
  <si>
    <t>TIEMPO DE DESCOMPOSTURAS</t>
  </si>
  <si>
    <t>TIEMPO DE CAMBIO DE PRODUCTO</t>
  </si>
  <si>
    <t>TIEMPO TOTAL</t>
  </si>
  <si>
    <t>TIEMPO MUERTO</t>
  </si>
  <si>
    <t>TIEMPO OPERATIVO</t>
  </si>
  <si>
    <t>PRODUCCIÓN REAL</t>
  </si>
  <si>
    <t>CAPACIDAD PRODUCTIVA</t>
  </si>
  <si>
    <t>UNIDADES BUENAS</t>
  </si>
  <si>
    <t>DISPONIBILIDAD</t>
  </si>
  <si>
    <t>EFICIENCIA</t>
  </si>
  <si>
    <t>CALIDAD</t>
  </si>
  <si>
    <t>OEE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</si>
</sst>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_ * #,##0.00_ ;_ * \-#,##0.00_ ;_ * &quot;-&quot;??_ ;_ @_ "/>
    <numFmt numFmtId="165" formatCode="_ &quot;$&quot;\ * #,##0.00_ ;_ &quot;$&quot;\ * \-#,##0.00_ ;_ &quot;$&quot;\ * &quot;-&quot;??_ ;_ @_ "/>
    <numFmt numFmtId="166" formatCode="_ &quot;$&quot;\ * #,##0_ ;_ &quot;$&quot;\ * \-#,##0_ ;_ &quot;$&quot;\ * &quot;-&quot;??_ ;_ @_ "/>
    <numFmt numFmtId="167" formatCode="&quot;$&quot;\ #,##0.00"/>
    <numFmt numFmtId="168" formatCode="_(&quot;$&quot;\ * #,##0_);_(&quot;$&quot;\ * \(#,##0\);_(&quot;$&quot;\ * &quot;-&quot;??_);_(@_)"/>
    <numFmt numFmtId="169" formatCode="0.0%"/>
    <numFmt numFmtId="170" formatCode="0.0"/>
    <numFmt numFmtId="171" formatCode="_-* #,##0_-;\-* #,##0_-;_-* &quot;-&quot;??_-;_-@_-"/>
    <numFmt numFmtId="172" formatCode="_-&quot;$&quot;* #,##0_-;\-&quot;$&quot;* #,##0_-;_-&quot;$&quot;* &quot;-&quot;??_-;_-@_-"/>
  </numFmts>
  <fonts count="74" x14ac:knownFonts="1">
    <font>
      <sz val="11"/>
      <color theme="1"/>
      <name val="Calibri"/>
      <family val="2"/>
      <scheme val="minor"/>
    </font>
    <font>
      <sz val="11"/>
      <color theme="1"/>
      <name val="Calibri"/>
      <family val="2"/>
      <scheme val="minor"/>
    </font>
    <font>
      <b/>
      <sz val="11"/>
      <color theme="1"/>
      <name val="Calibri"/>
      <family val="2"/>
      <scheme val="minor"/>
    </font>
    <font>
      <b/>
      <sz val="12"/>
      <color rgb="FF000000"/>
      <name val="Calibri"/>
      <family val="2"/>
      <scheme val="minor"/>
    </font>
    <font>
      <sz val="11"/>
      <color rgb="FF000000"/>
      <name val="Calibri"/>
      <family val="2"/>
      <scheme val="minor"/>
    </font>
    <font>
      <sz val="10"/>
      <name val="Arial"/>
      <family val="2"/>
    </font>
    <font>
      <sz val="11"/>
      <color rgb="FF000000"/>
      <name val="Wingdings"/>
      <charset val="2"/>
    </font>
    <font>
      <sz val="9"/>
      <color theme="1"/>
      <name val="Calibri"/>
      <family val="2"/>
      <scheme val="minor"/>
    </font>
    <font>
      <sz val="10"/>
      <color theme="1"/>
      <name val="Calibri"/>
      <family val="2"/>
      <scheme val="minor"/>
    </font>
    <font>
      <b/>
      <sz val="9"/>
      <color indexed="81"/>
      <name val="Tahoma"/>
      <family val="2"/>
    </font>
    <font>
      <sz val="9"/>
      <color indexed="81"/>
      <name val="Tahoma"/>
      <family val="2"/>
    </font>
    <font>
      <sz val="11"/>
      <color theme="0"/>
      <name val="Calibri"/>
      <family val="2"/>
      <scheme val="minor"/>
    </font>
    <font>
      <b/>
      <sz val="16"/>
      <color theme="1"/>
      <name val="Calibri"/>
      <family val="2"/>
      <scheme val="minor"/>
    </font>
    <font>
      <b/>
      <sz val="26"/>
      <color theme="1"/>
      <name val="Calibri"/>
      <family val="2"/>
      <scheme val="minor"/>
    </font>
    <font>
      <b/>
      <sz val="14"/>
      <color theme="0"/>
      <name val="Calibri"/>
      <family val="2"/>
      <scheme val="minor"/>
    </font>
    <font>
      <b/>
      <sz val="14"/>
      <name val="Calibri"/>
      <family val="2"/>
      <scheme val="minor"/>
    </font>
    <font>
      <b/>
      <sz val="12"/>
      <color theme="1"/>
      <name val="Calibri"/>
      <family val="2"/>
      <scheme val="minor"/>
    </font>
    <font>
      <sz val="12"/>
      <color theme="1"/>
      <name val="Calibri"/>
      <family val="2"/>
      <scheme val="minor"/>
    </font>
    <font>
      <sz val="14"/>
      <name val="Calibri"/>
      <family val="2"/>
      <scheme val="minor"/>
    </font>
    <font>
      <b/>
      <sz val="16"/>
      <color theme="0"/>
      <name val="Calibri"/>
      <family val="2"/>
      <scheme val="minor"/>
    </font>
    <font>
      <b/>
      <sz val="12"/>
      <name val="Calibri"/>
      <family val="2"/>
      <scheme val="minor"/>
    </font>
    <font>
      <b/>
      <sz val="11"/>
      <name val="Calibri"/>
      <family val="2"/>
      <scheme val="minor"/>
    </font>
    <font>
      <sz val="16"/>
      <color theme="1"/>
      <name val="Calibri"/>
      <family val="2"/>
      <scheme val="minor"/>
    </font>
    <font>
      <sz val="14"/>
      <color theme="1"/>
      <name val="Calibri"/>
      <family val="2"/>
      <scheme val="minor"/>
    </font>
    <font>
      <b/>
      <sz val="9"/>
      <color theme="0"/>
      <name val="Calibri"/>
      <family val="2"/>
      <scheme val="minor"/>
    </font>
    <font>
      <b/>
      <sz val="18"/>
      <color theme="1"/>
      <name val="Calibri"/>
      <family val="2"/>
      <scheme val="minor"/>
    </font>
    <font>
      <b/>
      <sz val="8"/>
      <color theme="0"/>
      <name val="Calibri"/>
      <family val="2"/>
      <scheme val="minor"/>
    </font>
    <font>
      <b/>
      <sz val="20"/>
      <color theme="1"/>
      <name val="Calibri"/>
      <family val="2"/>
      <scheme val="minor"/>
    </font>
    <font>
      <b/>
      <sz val="6"/>
      <color theme="1"/>
      <name val="Calibri"/>
      <family val="2"/>
      <scheme val="minor"/>
    </font>
    <font>
      <b/>
      <sz val="10"/>
      <color theme="1"/>
      <name val="Calibri"/>
      <family val="2"/>
      <scheme val="minor"/>
    </font>
    <font>
      <b/>
      <sz val="10"/>
      <color theme="0"/>
      <name val="Calibri"/>
      <family val="2"/>
      <scheme val="minor"/>
    </font>
    <font>
      <u/>
      <sz val="11"/>
      <color theme="10"/>
      <name val="Calibri"/>
      <family val="2"/>
    </font>
    <font>
      <i/>
      <sz val="14"/>
      <color theme="1"/>
      <name val="Calibri"/>
      <family val="2"/>
    </font>
    <font>
      <sz val="26"/>
      <color rgb="FF009688"/>
      <name val="Calibri Light"/>
      <family val="2"/>
    </font>
    <font>
      <sz val="14"/>
      <color rgb="FF009688"/>
      <name val="Calibri"/>
      <family val="2"/>
    </font>
    <font>
      <sz val="13"/>
      <color theme="1" tint="0.34998626667073579"/>
      <name val="Calibri"/>
      <family val="2"/>
      <scheme val="minor"/>
    </font>
    <font>
      <sz val="13"/>
      <color theme="5" tint="0.39997558519241921"/>
      <name val="Calibri"/>
      <family val="2"/>
      <scheme val="minor"/>
    </font>
    <font>
      <sz val="12"/>
      <name val="Courier"/>
      <family val="3"/>
    </font>
    <font>
      <sz val="12"/>
      <color rgb="FF222222"/>
      <name val="Arial"/>
      <family val="2"/>
    </font>
    <font>
      <b/>
      <sz val="10"/>
      <name val="Calibri"/>
      <family val="2"/>
      <scheme val="minor"/>
    </font>
    <font>
      <sz val="10"/>
      <name val="Calibri"/>
      <family val="2"/>
      <scheme val="minor"/>
    </font>
    <font>
      <u/>
      <sz val="10"/>
      <color indexed="12"/>
      <name val="Arial"/>
      <family val="2"/>
    </font>
    <font>
      <u/>
      <sz val="10"/>
      <color indexed="12"/>
      <name val="Calibri"/>
      <family val="2"/>
      <scheme val="minor"/>
    </font>
    <font>
      <b/>
      <sz val="10"/>
      <color indexed="8"/>
      <name val="Calibri"/>
      <family val="2"/>
      <scheme val="minor"/>
    </font>
    <font>
      <b/>
      <sz val="12"/>
      <color indexed="53"/>
      <name val="Calibri"/>
      <family val="2"/>
      <scheme val="minor"/>
    </font>
    <font>
      <b/>
      <sz val="18"/>
      <color theme="1"/>
      <name val="Arial"/>
      <family val="2"/>
    </font>
    <font>
      <sz val="10"/>
      <color theme="1"/>
      <name val="Arial"/>
      <family val="2"/>
    </font>
    <font>
      <sz val="8"/>
      <color theme="1"/>
      <name val="Arial"/>
      <family val="2"/>
    </font>
    <font>
      <b/>
      <sz val="11"/>
      <name val="Arial"/>
      <family val="2"/>
    </font>
    <font>
      <b/>
      <sz val="10"/>
      <name val="Arial"/>
      <family val="2"/>
    </font>
    <font>
      <b/>
      <sz val="16"/>
      <name val="Arial"/>
      <family val="2"/>
    </font>
    <font>
      <b/>
      <sz val="14"/>
      <name val="Arial"/>
      <family val="2"/>
    </font>
    <font>
      <sz val="20"/>
      <color theme="1"/>
      <name val="Calibri"/>
      <family val="2"/>
      <scheme val="minor"/>
    </font>
    <font>
      <u/>
      <sz val="11"/>
      <color theme="1"/>
      <name val="Calibri"/>
      <family val="2"/>
      <scheme val="minor"/>
    </font>
    <font>
      <b/>
      <sz val="14"/>
      <color theme="1"/>
      <name val="Calibri"/>
      <family val="2"/>
      <scheme val="minor"/>
    </font>
    <font>
      <b/>
      <u val="double"/>
      <sz val="12"/>
      <color rgb="FFFF0000"/>
      <name val="Calibri"/>
      <family val="2"/>
      <scheme val="minor"/>
    </font>
    <font>
      <b/>
      <sz val="24"/>
      <color theme="1"/>
      <name val="Calibri"/>
      <family val="2"/>
      <scheme val="minor"/>
    </font>
    <font>
      <sz val="12"/>
      <name val="Arial"/>
      <family val="2"/>
    </font>
    <font>
      <b/>
      <sz val="12"/>
      <name val="Arial"/>
      <family val="2"/>
    </font>
    <font>
      <b/>
      <u/>
      <sz val="20"/>
      <color rgb="FFFF0000"/>
      <name val="Calibri"/>
      <family val="2"/>
      <scheme val="minor"/>
    </font>
    <font>
      <b/>
      <sz val="11"/>
      <color theme="4" tint="-0.499984740745262"/>
      <name val="Calibri"/>
      <family val="2"/>
      <scheme val="minor"/>
    </font>
    <font>
      <b/>
      <i/>
      <sz val="11"/>
      <color theme="1"/>
      <name val="Calibri"/>
      <family val="2"/>
      <scheme val="minor"/>
    </font>
    <font>
      <i/>
      <sz val="11"/>
      <color theme="1"/>
      <name val="Calibri"/>
      <family val="2"/>
      <scheme val="minor"/>
    </font>
    <font>
      <b/>
      <sz val="11"/>
      <color theme="3" tint="0.39997558519241921"/>
      <name val="Calibri"/>
      <family val="2"/>
      <scheme val="minor"/>
    </font>
    <font>
      <sz val="18"/>
      <color theme="1"/>
      <name val="Calibri"/>
      <family val="2"/>
      <scheme val="minor"/>
    </font>
    <font>
      <b/>
      <sz val="28"/>
      <color theme="1"/>
      <name val="Calibri"/>
      <family val="2"/>
      <scheme val="minor"/>
    </font>
    <font>
      <b/>
      <sz val="14"/>
      <color rgb="FFC00000"/>
      <name val="Calibri"/>
      <family val="2"/>
      <scheme val="minor"/>
    </font>
    <font>
      <b/>
      <sz val="18"/>
      <color rgb="FFC00000"/>
      <name val="Calibri"/>
      <family val="2"/>
      <scheme val="minor"/>
    </font>
    <font>
      <b/>
      <sz val="20"/>
      <color rgb="FFC00000"/>
      <name val="Calibri"/>
      <family val="2"/>
      <scheme val="minor"/>
    </font>
    <font>
      <b/>
      <sz val="14"/>
      <color rgb="FFC00000"/>
      <name val="Arial"/>
      <family val="2"/>
    </font>
    <font>
      <sz val="14"/>
      <color rgb="FFC00000"/>
      <name val="Arial"/>
      <family val="2"/>
    </font>
    <font>
      <b/>
      <sz val="11"/>
      <color rgb="FF0070C0"/>
      <name val="Calibri"/>
      <family val="2"/>
      <scheme val="minor"/>
    </font>
    <font>
      <sz val="22"/>
      <color theme="1"/>
      <name val="Calibri"/>
      <family val="2"/>
      <scheme val="minor"/>
    </font>
    <font>
      <sz val="36"/>
      <color theme="1"/>
      <name val="Calibri"/>
      <family val="2"/>
      <scheme val="minor"/>
    </font>
  </fonts>
  <fills count="43">
    <fill>
      <patternFill patternType="none"/>
    </fill>
    <fill>
      <patternFill patternType="gray125"/>
    </fill>
    <fill>
      <patternFill patternType="solid">
        <fgColor rgb="FFE2EFDA"/>
        <bgColor rgb="FF000000"/>
      </patternFill>
    </fill>
    <fill>
      <patternFill patternType="solid">
        <fgColor rgb="FFD9E1F2"/>
        <bgColor rgb="FF000000"/>
      </patternFill>
    </fill>
    <fill>
      <patternFill patternType="solid">
        <fgColor rgb="FFFCE4D6"/>
        <bgColor rgb="FF000000"/>
      </patternFill>
    </fill>
    <fill>
      <patternFill patternType="solid">
        <fgColor rgb="FFEDEDED"/>
        <bgColor rgb="FF000000"/>
      </patternFill>
    </fill>
    <fill>
      <patternFill patternType="solid">
        <fgColor rgb="FFFFF2CC"/>
        <bgColor rgb="FF000000"/>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rgb="FF00B050"/>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6" tint="-0.249977111117893"/>
        <bgColor indexed="64"/>
      </patternFill>
    </fill>
    <fill>
      <patternFill patternType="solid">
        <fgColor theme="3" tint="0.79998168889431442"/>
        <bgColor indexed="64"/>
      </patternFill>
    </fill>
    <fill>
      <patternFill patternType="solid">
        <fgColor rgb="FFDFF2F1"/>
        <bgColor indexed="64"/>
      </patternFill>
    </fill>
    <fill>
      <patternFill patternType="solid">
        <fgColor theme="6" tint="0.39997558519241921"/>
        <bgColor indexed="64"/>
      </patternFill>
    </fill>
    <fill>
      <patternFill patternType="solid">
        <fgColor indexed="43"/>
        <bgColor indexed="64"/>
      </patternFill>
    </fill>
    <fill>
      <patternFill patternType="solid">
        <fgColor indexed="9"/>
        <bgColor indexed="64"/>
      </patternFill>
    </fill>
    <fill>
      <patternFill patternType="solid">
        <fgColor theme="2" tint="-9.9978637043366805E-2"/>
        <bgColor indexed="64"/>
      </patternFill>
    </fill>
    <fill>
      <patternFill patternType="solid">
        <fgColor rgb="FF00B0F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5"/>
        <bgColor indexed="64"/>
      </patternFill>
    </fill>
    <fill>
      <patternFill patternType="solid">
        <fgColor rgb="FFFFC000"/>
        <bgColor indexed="64"/>
      </patternFill>
    </fill>
    <fill>
      <patternFill patternType="solid">
        <fgColor theme="5" tint="0.39997558519241921"/>
        <bgColor indexed="64"/>
      </patternFill>
    </fill>
    <fill>
      <patternFill patternType="solid">
        <fgColor theme="1"/>
        <bgColor indexed="64"/>
      </patternFill>
    </fill>
    <fill>
      <patternFill patternType="solid">
        <fgColor theme="3" tint="0.39997558519241921"/>
        <bgColor indexed="64"/>
      </patternFill>
    </fill>
    <fill>
      <patternFill patternType="solid">
        <fgColor theme="5" tint="-0.249977111117893"/>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6" tint="-0.499984740745262"/>
        <bgColor indexed="64"/>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4"/>
        <bgColor indexed="64"/>
      </patternFill>
    </fill>
    <fill>
      <patternFill patternType="solid">
        <fgColor theme="6" tint="0.59999389629810485"/>
        <bgColor indexed="64"/>
      </patternFill>
    </fill>
  </fills>
  <borders count="106">
    <border>
      <left/>
      <right/>
      <top/>
      <bottom/>
      <diagonal/>
    </border>
    <border>
      <left style="thin">
        <color rgb="FF808080"/>
      </left>
      <right style="thin">
        <color rgb="FF808080"/>
      </right>
      <top style="thin">
        <color rgb="FF808080"/>
      </top>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theme="0"/>
      </right>
      <top/>
      <bottom/>
      <diagonal/>
    </border>
    <border>
      <left style="thin">
        <color theme="0"/>
      </left>
      <right style="thin">
        <color theme="0"/>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theme="5"/>
      </left>
      <right style="thin">
        <color theme="5"/>
      </right>
      <top style="thin">
        <color theme="5"/>
      </top>
      <bottom style="thin">
        <color theme="5"/>
      </bottom>
      <diagonal/>
    </border>
    <border>
      <left style="thin">
        <color indexed="64"/>
      </left>
      <right/>
      <top/>
      <bottom style="thin">
        <color indexed="64"/>
      </bottom>
      <diagonal/>
    </border>
    <border>
      <left style="double">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style="double">
        <color theme="0" tint="-0.34998626667073579"/>
      </right>
      <top style="double">
        <color theme="0" tint="-0.34998626667073579"/>
      </top>
      <bottom style="thin">
        <color theme="0" tint="-0.34998626667073579"/>
      </bottom>
      <diagonal/>
    </border>
    <border>
      <left style="thin">
        <color theme="0"/>
      </left>
      <right style="thin">
        <color theme="0"/>
      </right>
      <top style="thin">
        <color theme="0"/>
      </top>
      <bottom style="thin">
        <color theme="0"/>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uble">
        <color theme="0" tint="-0.34998626667073579"/>
      </right>
      <top style="thin">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style="double">
        <color theme="0" tint="-0.34998626667073579"/>
      </right>
      <top style="thin">
        <color theme="0" tint="-0.34998626667073579"/>
      </top>
      <bottom style="double">
        <color theme="0" tint="-0.34998626667073579"/>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theme="5" tint="-0.249977111117893"/>
      </left>
      <right style="thin">
        <color theme="5" tint="-0.249977111117893"/>
      </right>
      <top style="thin">
        <color theme="5" tint="-0.249977111117893"/>
      </top>
      <bottom style="thin">
        <color theme="5" tint="-0.249977111117893"/>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indexed="64"/>
      </right>
      <top/>
      <bottom style="thin">
        <color indexed="64"/>
      </bottom>
      <diagonal/>
    </border>
    <border>
      <left/>
      <right style="thin">
        <color theme="3" tint="0.39997558519241921"/>
      </right>
      <top/>
      <bottom style="thin">
        <color theme="3" tint="0.39997558519241921"/>
      </bottom>
      <diagonal/>
    </border>
    <border>
      <left style="thin">
        <color theme="3" tint="0.39997558519241921"/>
      </left>
      <right style="thin">
        <color theme="3" tint="0.39997558519241921"/>
      </right>
      <top/>
      <bottom style="thin">
        <color theme="3" tint="0.39997558519241921"/>
      </bottom>
      <diagonal/>
    </border>
    <border>
      <left style="thin">
        <color theme="4"/>
      </left>
      <right style="thin">
        <color theme="4"/>
      </right>
      <top style="thin">
        <color theme="4"/>
      </top>
      <bottom style="thin">
        <color theme="4"/>
      </bottom>
      <diagonal/>
    </border>
    <border>
      <left/>
      <right style="thin">
        <color theme="3" tint="0.39997558519241921"/>
      </right>
      <top style="thin">
        <color theme="3" tint="0.39997558519241921"/>
      </top>
      <bottom style="thin">
        <color theme="3" tint="0.39997558519241921"/>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theme="3" tint="0.39997558519241921"/>
      </left>
      <right/>
      <top/>
      <bottom style="thin">
        <color theme="3" tint="0.39997558519241921"/>
      </bottom>
      <diagonal/>
    </border>
    <border>
      <left/>
      <right/>
      <top/>
      <bottom style="thin">
        <color theme="3" tint="0.39997558519241921"/>
      </bottom>
      <diagonal/>
    </border>
    <border>
      <left style="thin">
        <color theme="3" tint="0.39997558519241921"/>
      </left>
      <right/>
      <top style="thin">
        <color theme="3" tint="0.39997558519241921"/>
      </top>
      <bottom style="thin">
        <color theme="3" tint="0.39997558519241921"/>
      </bottom>
      <diagonal/>
    </border>
    <border>
      <left/>
      <right/>
      <top style="thin">
        <color theme="3" tint="0.39997558519241921"/>
      </top>
      <bottom style="thin">
        <color theme="3" tint="0.39997558519241921"/>
      </bottom>
      <diagonal/>
    </border>
    <border>
      <left/>
      <right/>
      <top style="thin">
        <color theme="3" tint="0.39997558519241921"/>
      </top>
      <bottom/>
      <diagonal/>
    </border>
    <border>
      <left style="thin">
        <color rgb="FFDFF2F1"/>
      </left>
      <right/>
      <top style="thin">
        <color rgb="FFDFF2F1"/>
      </top>
      <bottom style="thin">
        <color rgb="FFDFF2F1"/>
      </bottom>
      <diagonal/>
    </border>
    <border>
      <left/>
      <right/>
      <top style="thin">
        <color rgb="FFDFF2F1"/>
      </top>
      <bottom style="thin">
        <color rgb="FFDFF2F1"/>
      </bottom>
      <diagonal/>
    </border>
    <border>
      <left/>
      <right style="thin">
        <color rgb="FFDFF2F1"/>
      </right>
      <top style="thin">
        <color rgb="FFDFF2F1"/>
      </top>
      <bottom style="thin">
        <color rgb="FFDFF2F1"/>
      </bottom>
      <diagonal/>
    </border>
    <border>
      <left style="thin">
        <color theme="0" tint="-0.14996795556505021"/>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0.14996795556505021"/>
      </right>
      <top/>
      <bottom style="thin">
        <color theme="0" tint="-4.9989318521683403E-2"/>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top/>
      <bottom/>
      <diagonal/>
    </border>
    <border>
      <left/>
      <right/>
      <top style="thick">
        <color indexed="64"/>
      </top>
      <bottom/>
      <diagonal/>
    </border>
    <border>
      <left style="thin">
        <color indexed="64"/>
      </left>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808080"/>
      </left>
      <right/>
      <top style="thin">
        <color rgb="FF808080"/>
      </top>
      <bottom/>
      <diagonal/>
    </border>
  </borders>
  <cellStyleXfs count="12">
    <xf numFmtId="0" fontId="0" fillId="0" borderId="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31" fillId="0" borderId="0" applyNumberFormat="0" applyFill="0" applyBorder="0" applyAlignment="0" applyProtection="0">
      <alignment vertical="top"/>
      <protection locked="0"/>
    </xf>
    <xf numFmtId="0" fontId="37" fillId="0" borderId="0"/>
    <xf numFmtId="0" fontId="5" fillId="0" borderId="0"/>
    <xf numFmtId="0" fontId="41" fillId="0" borderId="0" applyNumberFormat="0" applyFill="0" applyBorder="0" applyAlignment="0" applyProtection="0">
      <alignment vertical="top"/>
      <protection locked="0"/>
    </xf>
    <xf numFmtId="164" fontId="5" fillId="0" borderId="0" applyFont="0" applyFill="0" applyBorder="0" applyAlignment="0" applyProtection="0"/>
    <xf numFmtId="9" fontId="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780">
    <xf numFmtId="0" fontId="0" fillId="0" borderId="0" xfId="0"/>
    <xf numFmtId="0" fontId="4" fillId="0" borderId="0" xfId="0" applyFont="1" applyAlignment="1">
      <alignment horizontal="center" vertical="center"/>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vertical="center" wrapText="1"/>
    </xf>
    <xf numFmtId="0" fontId="0" fillId="0" borderId="4" xfId="0" applyBorder="1"/>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xf>
    <xf numFmtId="0" fontId="0" fillId="8" borderId="4" xfId="0" applyFill="1" applyBorder="1" applyAlignment="1">
      <alignment horizontal="center" vertical="center" wrapText="1"/>
    </xf>
    <xf numFmtId="0" fontId="7" fillId="8" borderId="4" xfId="0" applyFont="1" applyFill="1" applyBorder="1" applyAlignment="1">
      <alignment horizontal="center" vertical="center" wrapText="1"/>
    </xf>
    <xf numFmtId="0" fontId="0" fillId="0" borderId="4" xfId="0" applyBorder="1" applyAlignment="1">
      <alignment horizontal="center" vertical="center"/>
    </xf>
    <xf numFmtId="0" fontId="8" fillId="0" borderId="4" xfId="0" applyFont="1" applyBorder="1" applyAlignment="1">
      <alignment horizontal="center" vertical="center"/>
    </xf>
    <xf numFmtId="0" fontId="0" fillId="8" borderId="4" xfId="0" applyFill="1" applyBorder="1" applyAlignment="1">
      <alignment horizontal="center" vertical="center"/>
    </xf>
    <xf numFmtId="0" fontId="2" fillId="9" borderId="4" xfId="0" applyFont="1" applyFill="1" applyBorder="1" applyAlignment="1">
      <alignment horizontal="center" vertical="center"/>
    </xf>
    <xf numFmtId="0" fontId="2" fillId="10" borderId="4" xfId="0" applyFont="1" applyFill="1" applyBorder="1" applyAlignment="1">
      <alignment horizontal="center" vertical="center"/>
    </xf>
    <xf numFmtId="0" fontId="8" fillId="8" borderId="4" xfId="0" applyFont="1" applyFill="1" applyBorder="1" applyAlignment="1">
      <alignment horizontal="center" vertical="center"/>
    </xf>
    <xf numFmtId="0" fontId="0" fillId="10" borderId="4" xfId="0" applyFill="1" applyBorder="1" applyAlignment="1">
      <alignment horizontal="center" vertical="center"/>
    </xf>
    <xf numFmtId="0" fontId="12" fillId="0" borderId="0" xfId="0" applyFont="1"/>
    <xf numFmtId="0" fontId="15" fillId="9" borderId="7" xfId="0" applyFont="1" applyFill="1" applyBorder="1" applyAlignment="1">
      <alignment horizontal="center" vertical="center"/>
    </xf>
    <xf numFmtId="0" fontId="15" fillId="9" borderId="8" xfId="0" applyFont="1" applyFill="1" applyBorder="1" applyAlignment="1">
      <alignment horizontal="center" vertical="center"/>
    </xf>
    <xf numFmtId="0" fontId="0" fillId="0" borderId="0" xfId="0" applyAlignment="1">
      <alignment vertical="center"/>
    </xf>
    <xf numFmtId="0" fontId="16" fillId="0" borderId="0" xfId="0" applyFont="1" applyAlignment="1">
      <alignment vertical="center" wrapText="1"/>
    </xf>
    <xf numFmtId="166" fontId="17" fillId="0" borderId="0" xfId="3" applyNumberFormat="1" applyFont="1" applyBorder="1" applyAlignment="1">
      <alignment vertical="center" wrapText="1"/>
    </xf>
    <xf numFmtId="0" fontId="15" fillId="9" borderId="7" xfId="0" applyFont="1" applyFill="1" applyBorder="1" applyAlignment="1">
      <alignment vertical="center"/>
    </xf>
    <xf numFmtId="166" fontId="15" fillId="9" borderId="8" xfId="3" applyNumberFormat="1" applyFont="1" applyFill="1" applyBorder="1" applyAlignment="1">
      <alignment horizontal="center" vertical="center"/>
    </xf>
    <xf numFmtId="0" fontId="15" fillId="0" borderId="0" xfId="0" applyFont="1"/>
    <xf numFmtId="166" fontId="18" fillId="0" borderId="0" xfId="3" applyNumberFormat="1" applyFont="1"/>
    <xf numFmtId="0" fontId="15" fillId="0" borderId="0" xfId="0" applyFont="1" applyAlignment="1">
      <alignment vertical="center"/>
    </xf>
    <xf numFmtId="166" fontId="18" fillId="0" borderId="0" xfId="3" applyNumberFormat="1" applyFont="1" applyAlignment="1">
      <alignment vertical="center"/>
    </xf>
    <xf numFmtId="166" fontId="0" fillId="0" borderId="0" xfId="3" applyNumberFormat="1" applyFont="1"/>
    <xf numFmtId="166" fontId="15" fillId="0" borderId="0" xfId="3" applyNumberFormat="1" applyFont="1" applyFill="1" applyBorder="1" applyAlignment="1">
      <alignment horizontal="center" vertical="center"/>
    </xf>
    <xf numFmtId="0" fontId="14" fillId="0" borderId="0" xfId="0" applyFont="1" applyAlignment="1">
      <alignment horizontal="center" vertical="center"/>
    </xf>
    <xf numFmtId="166" fontId="14" fillId="0" borderId="0" xfId="3" applyNumberFormat="1" applyFont="1" applyFill="1" applyBorder="1" applyAlignment="1">
      <alignment horizontal="center" vertical="center"/>
    </xf>
    <xf numFmtId="0" fontId="20" fillId="9" borderId="13" xfId="0" applyFont="1" applyFill="1" applyBorder="1" applyAlignment="1">
      <alignment horizontal="center"/>
    </xf>
    <xf numFmtId="165" fontId="21" fillId="9" borderId="13" xfId="3" applyFont="1" applyFill="1" applyBorder="1" applyAlignment="1">
      <alignment horizontal="center"/>
    </xf>
    <xf numFmtId="0" fontId="0" fillId="0" borderId="18" xfId="0" applyBorder="1" applyAlignment="1">
      <alignment horizontal="center"/>
    </xf>
    <xf numFmtId="0" fontId="7" fillId="0" borderId="18" xfId="0" applyFont="1" applyBorder="1" applyAlignment="1">
      <alignment horizontal="center"/>
    </xf>
    <xf numFmtId="14" fontId="0" fillId="0" borderId="18" xfId="0" applyNumberFormat="1" applyBorder="1" applyAlignment="1">
      <alignment horizontal="center"/>
    </xf>
    <xf numFmtId="1" fontId="0" fillId="0" borderId="18" xfId="2" applyNumberFormat="1" applyFont="1" applyFill="1" applyBorder="1" applyAlignment="1">
      <alignment horizontal="center"/>
    </xf>
    <xf numFmtId="1" fontId="0" fillId="0" borderId="18" xfId="0" applyNumberFormat="1" applyBorder="1" applyAlignment="1">
      <alignment horizontal="center"/>
    </xf>
    <xf numFmtId="0" fontId="2" fillId="0" borderId="4" xfId="0" applyFont="1" applyBorder="1" applyAlignment="1">
      <alignment horizontal="center"/>
    </xf>
    <xf numFmtId="0" fontId="2" fillId="13" borderId="9" xfId="0" applyFont="1" applyFill="1" applyBorder="1" applyAlignment="1">
      <alignment horizontal="left"/>
    </xf>
    <xf numFmtId="0" fontId="0" fillId="13" borderId="0" xfId="0" applyFill="1"/>
    <xf numFmtId="167" fontId="0" fillId="0" borderId="4" xfId="0" applyNumberFormat="1" applyBorder="1"/>
    <xf numFmtId="2" fontId="0" fillId="0" borderId="4" xfId="0" applyNumberFormat="1" applyBorder="1"/>
    <xf numFmtId="0" fontId="0" fillId="13" borderId="0" xfId="0" applyFill="1" applyAlignment="1">
      <alignment horizontal="left"/>
    </xf>
    <xf numFmtId="0" fontId="2" fillId="0" borderId="26" xfId="0" applyFont="1" applyBorder="1"/>
    <xf numFmtId="0" fontId="0" fillId="0" borderId="4" xfId="0" applyBorder="1" applyAlignment="1">
      <alignment horizontal="center"/>
    </xf>
    <xf numFmtId="0" fontId="0" fillId="0" borderId="0" xfId="0" applyAlignment="1">
      <alignment horizontal="center"/>
    </xf>
    <xf numFmtId="0" fontId="0" fillId="14" borderId="4" xfId="0" applyFill="1" applyBorder="1" applyAlignment="1">
      <alignment horizontal="center"/>
    </xf>
    <xf numFmtId="0" fontId="0" fillId="15" borderId="4" xfId="0" applyFill="1" applyBorder="1" applyAlignment="1">
      <alignment horizontal="center"/>
    </xf>
    <xf numFmtId="0" fontId="0" fillId="16" borderId="4" xfId="0" applyFill="1" applyBorder="1" applyAlignment="1">
      <alignment horizontal="center"/>
    </xf>
    <xf numFmtId="0" fontId="2" fillId="0" borderId="0" xfId="0" applyFont="1" applyAlignment="1">
      <alignment horizontal="center"/>
    </xf>
    <xf numFmtId="0" fontId="2" fillId="0" borderId="0" xfId="0" applyFont="1"/>
    <xf numFmtId="0" fontId="2" fillId="0" borderId="14" xfId="0" applyFont="1" applyBorder="1" applyAlignment="1">
      <alignment horizontal="center"/>
    </xf>
    <xf numFmtId="0" fontId="0" fillId="19" borderId="4" xfId="0" applyFill="1" applyBorder="1" applyProtection="1">
      <protection locked="0"/>
    </xf>
    <xf numFmtId="46" fontId="8" fillId="19" borderId="4" xfId="0" applyNumberFormat="1" applyFont="1" applyFill="1" applyBorder="1" applyProtection="1">
      <protection locked="0"/>
    </xf>
    <xf numFmtId="46" fontId="8" fillId="12" borderId="4" xfId="0" applyNumberFormat="1" applyFont="1" applyFill="1" applyBorder="1" applyProtection="1">
      <protection locked="0"/>
    </xf>
    <xf numFmtId="46" fontId="8" fillId="17" borderId="36" xfId="0" applyNumberFormat="1" applyFont="1" applyFill="1" applyBorder="1"/>
    <xf numFmtId="0" fontId="0" fillId="0" borderId="37" xfId="0" applyBorder="1"/>
    <xf numFmtId="46" fontId="8" fillId="17" borderId="37" xfId="0" applyNumberFormat="1" applyFont="1" applyFill="1" applyBorder="1"/>
    <xf numFmtId="1" fontId="0" fillId="0" borderId="37" xfId="0" applyNumberFormat="1" applyBorder="1"/>
    <xf numFmtId="0" fontId="2" fillId="0" borderId="30" xfId="0" applyFont="1" applyBorder="1" applyAlignment="1">
      <alignment horizontal="center"/>
    </xf>
    <xf numFmtId="46" fontId="8" fillId="19" borderId="6" xfId="0" applyNumberFormat="1" applyFont="1" applyFill="1" applyBorder="1" applyProtection="1">
      <protection locked="0"/>
    </xf>
    <xf numFmtId="0" fontId="0" fillId="19" borderId="6" xfId="0" applyFill="1" applyBorder="1" applyProtection="1">
      <protection locked="0"/>
    </xf>
    <xf numFmtId="46" fontId="8" fillId="12" borderId="6" xfId="0" applyNumberFormat="1" applyFont="1" applyFill="1" applyBorder="1" applyProtection="1">
      <protection locked="0"/>
    </xf>
    <xf numFmtId="0" fontId="30" fillId="13" borderId="30" xfId="0" applyFont="1" applyFill="1" applyBorder="1"/>
    <xf numFmtId="0" fontId="29" fillId="0" borderId="4" xfId="0" applyFont="1" applyBorder="1" applyAlignment="1">
      <alignment horizontal="center"/>
    </xf>
    <xf numFmtId="0" fontId="29" fillId="0" borderId="0" xfId="0" applyFont="1"/>
    <xf numFmtId="0" fontId="11" fillId="0" borderId="45" xfId="0" applyFont="1" applyBorder="1" applyAlignment="1">
      <alignment horizontal="center"/>
    </xf>
    <xf numFmtId="10" fontId="0" fillId="0" borderId="6" xfId="1" applyNumberFormat="1" applyFont="1" applyBorder="1" applyAlignment="1" applyProtection="1">
      <alignment horizontal="center"/>
    </xf>
    <xf numFmtId="49" fontId="0" fillId="0" borderId="0" xfId="0" applyNumberFormat="1"/>
    <xf numFmtId="46" fontId="8" fillId="19" borderId="4" xfId="0" applyNumberFormat="1" applyFont="1" applyFill="1" applyBorder="1" applyAlignment="1" applyProtection="1">
      <alignment horizontal="center"/>
      <protection locked="0"/>
    </xf>
    <xf numFmtId="168" fontId="0" fillId="19" borderId="4" xfId="0" applyNumberFormat="1" applyFill="1" applyBorder="1" applyAlignment="1" applyProtection="1">
      <alignment horizontal="center"/>
      <protection locked="0"/>
    </xf>
    <xf numFmtId="0" fontId="0" fillId="17" borderId="0" xfId="0" applyFill="1"/>
    <xf numFmtId="0" fontId="32" fillId="0" borderId="0" xfId="4" applyFont="1" applyAlignment="1" applyProtection="1">
      <alignment vertical="center"/>
    </xf>
    <xf numFmtId="0" fontId="31" fillId="0" borderId="0" xfId="4" applyAlignment="1" applyProtection="1">
      <alignment vertical="center"/>
    </xf>
    <xf numFmtId="0" fontId="33" fillId="0" borderId="0" xfId="0" applyFont="1"/>
    <xf numFmtId="0" fontId="34" fillId="20" borderId="46" xfId="0" applyFont="1" applyFill="1" applyBorder="1" applyAlignment="1">
      <alignment horizontal="center" vertical="center"/>
    </xf>
    <xf numFmtId="0" fontId="34" fillId="20" borderId="47" xfId="0" applyFont="1" applyFill="1" applyBorder="1" applyAlignment="1">
      <alignment horizontal="center" vertical="center"/>
    </xf>
    <xf numFmtId="0" fontId="34" fillId="20" borderId="48" xfId="0" applyFont="1" applyFill="1" applyBorder="1" applyAlignment="1">
      <alignment horizontal="center" vertical="center"/>
    </xf>
    <xf numFmtId="0" fontId="35" fillId="0" borderId="49" xfId="0" applyFont="1" applyBorder="1" applyAlignment="1">
      <alignment horizontal="center" vertical="center"/>
    </xf>
    <xf numFmtId="0" fontId="35" fillId="0" borderId="50" xfId="0" applyFont="1" applyBorder="1" applyAlignment="1">
      <alignment horizontal="center" vertical="center"/>
    </xf>
    <xf numFmtId="0" fontId="36" fillId="0" borderId="50" xfId="0" applyFont="1" applyBorder="1" applyAlignment="1">
      <alignment horizontal="center" vertical="center"/>
    </xf>
    <xf numFmtId="9" fontId="36" fillId="0" borderId="51" xfId="1" applyFont="1" applyBorder="1" applyAlignment="1">
      <alignment horizontal="center" vertical="center"/>
    </xf>
    <xf numFmtId="0" fontId="35" fillId="0" borderId="49" xfId="0" applyFont="1" applyBorder="1" applyAlignment="1">
      <alignment horizontal="left" vertical="center" indent="1"/>
    </xf>
    <xf numFmtId="0" fontId="35" fillId="0" borderId="50" xfId="0" applyFont="1" applyBorder="1" applyAlignment="1">
      <alignment horizontal="left" vertical="center" indent="1"/>
    </xf>
    <xf numFmtId="164" fontId="35" fillId="0" borderId="49" xfId="2" applyFont="1" applyBorder="1" applyAlignment="1">
      <alignment vertical="center"/>
    </xf>
    <xf numFmtId="0" fontId="35" fillId="0" borderId="49" xfId="0" applyFont="1" applyBorder="1" applyAlignment="1">
      <alignment horizontal="left" vertical="center"/>
    </xf>
    <xf numFmtId="0" fontId="34" fillId="20" borderId="46" xfId="0" applyFont="1" applyFill="1" applyBorder="1" applyAlignment="1">
      <alignment horizontal="left" vertical="center"/>
    </xf>
    <xf numFmtId="0" fontId="0" fillId="17" borderId="4" xfId="0" applyFill="1" applyBorder="1"/>
    <xf numFmtId="0" fontId="0" fillId="15" borderId="4" xfId="0" applyFill="1" applyBorder="1"/>
    <xf numFmtId="0" fontId="38" fillId="15" borderId="11" xfId="0" applyFont="1" applyFill="1" applyBorder="1"/>
    <xf numFmtId="0" fontId="39" fillId="0" borderId="0" xfId="6" applyFont="1" applyAlignment="1">
      <alignment horizontal="center"/>
    </xf>
    <xf numFmtId="0" fontId="40" fillId="0" borderId="0" xfId="6" applyFont="1"/>
    <xf numFmtId="0" fontId="39" fillId="0" borderId="0" xfId="6" applyFont="1" applyAlignment="1">
      <alignment horizontal="left"/>
    </xf>
    <xf numFmtId="0" fontId="42" fillId="0" borderId="0" xfId="7" applyFont="1" applyFill="1" applyAlignment="1" applyProtection="1">
      <alignment horizontal="left"/>
    </xf>
    <xf numFmtId="0" fontId="39" fillId="0" borderId="0" xfId="6" applyFont="1"/>
    <xf numFmtId="0" fontId="39" fillId="0" borderId="52" xfId="6" applyFont="1" applyBorder="1" applyAlignment="1">
      <alignment horizontal="center"/>
    </xf>
    <xf numFmtId="0" fontId="39" fillId="0" borderId="6" xfId="6" applyFont="1" applyBorder="1" applyAlignment="1">
      <alignment horizontal="center"/>
    </xf>
    <xf numFmtId="0" fontId="39" fillId="0" borderId="4" xfId="6" applyFont="1" applyBorder="1" applyAlignment="1">
      <alignment horizontal="center"/>
    </xf>
    <xf numFmtId="0" fontId="39" fillId="0" borderId="30" xfId="6" applyFont="1" applyBorder="1"/>
    <xf numFmtId="0" fontId="40" fillId="22" borderId="27" xfId="6" applyFont="1" applyFill="1" applyBorder="1"/>
    <xf numFmtId="0" fontId="40" fillId="22" borderId="4" xfId="6" applyFont="1" applyFill="1" applyBorder="1"/>
    <xf numFmtId="0" fontId="39" fillId="0" borderId="4" xfId="6" applyFont="1" applyBorder="1"/>
    <xf numFmtId="0" fontId="40" fillId="22" borderId="14" xfId="6" applyFont="1" applyFill="1" applyBorder="1"/>
    <xf numFmtId="0" fontId="39" fillId="0" borderId="52" xfId="6" applyFont="1" applyBorder="1"/>
    <xf numFmtId="0" fontId="39" fillId="0" borderId="30" xfId="6" applyFont="1" applyBorder="1" applyAlignment="1">
      <alignment horizontal="center"/>
    </xf>
    <xf numFmtId="0" fontId="40" fillId="22" borderId="26" xfId="6" applyFont="1" applyFill="1" applyBorder="1"/>
    <xf numFmtId="0" fontId="40" fillId="22" borderId="25" xfId="6" applyFont="1" applyFill="1" applyBorder="1"/>
    <xf numFmtId="0" fontId="43" fillId="0" borderId="6" xfId="6" applyFont="1" applyBorder="1" applyAlignment="1">
      <alignment horizontal="center"/>
    </xf>
    <xf numFmtId="0" fontId="43" fillId="0" borderId="4" xfId="6" applyFont="1" applyBorder="1" applyAlignment="1">
      <alignment horizontal="center"/>
    </xf>
    <xf numFmtId="0" fontId="43" fillId="0" borderId="30" xfId="6" applyFont="1" applyBorder="1"/>
    <xf numFmtId="0" fontId="43" fillId="0" borderId="4" xfId="6" applyFont="1" applyBorder="1"/>
    <xf numFmtId="0" fontId="39" fillId="0" borderId="6" xfId="6" applyFont="1" applyBorder="1"/>
    <xf numFmtId="0" fontId="39" fillId="0" borderId="4" xfId="6" applyFont="1" applyBorder="1" applyAlignment="1">
      <alignment horizontal="left"/>
    </xf>
    <xf numFmtId="0" fontId="42" fillId="0" borderId="0" xfId="7" applyFont="1" applyFill="1" applyAlignment="1" applyProtection="1"/>
    <xf numFmtId="11" fontId="40" fillId="0" borderId="0" xfId="6" applyNumberFormat="1" applyFont="1"/>
    <xf numFmtId="0" fontId="44" fillId="0" borderId="0" xfId="6" applyFont="1"/>
    <xf numFmtId="0" fontId="42" fillId="0" borderId="0" xfId="7" applyFont="1" applyFill="1" applyBorder="1" applyAlignment="1" applyProtection="1"/>
    <xf numFmtId="0" fontId="46" fillId="0" borderId="0" xfId="0" applyFont="1"/>
    <xf numFmtId="0" fontId="46" fillId="0" borderId="30" xfId="0" applyFont="1" applyBorder="1"/>
    <xf numFmtId="0" fontId="46" fillId="0" borderId="33" xfId="0" applyFont="1" applyBorder="1"/>
    <xf numFmtId="0" fontId="46" fillId="0" borderId="4" xfId="0" applyFont="1" applyBorder="1" applyAlignment="1">
      <alignment vertical="center"/>
    </xf>
    <xf numFmtId="0" fontId="46" fillId="0" borderId="0" xfId="0" applyFont="1" applyAlignment="1">
      <alignment vertical="center"/>
    </xf>
    <xf numFmtId="0" fontId="46" fillId="0" borderId="4" xfId="0" applyFont="1" applyBorder="1"/>
    <xf numFmtId="0" fontId="46" fillId="0" borderId="4" xfId="0" applyFont="1" applyBorder="1" applyAlignment="1">
      <alignment horizontal="left"/>
    </xf>
    <xf numFmtId="0" fontId="46" fillId="0" borderId="0" xfId="0" applyFont="1" applyAlignment="1">
      <alignment horizontal="left"/>
    </xf>
    <xf numFmtId="0" fontId="5" fillId="0" borderId="0" xfId="6"/>
    <xf numFmtId="0" fontId="5" fillId="0" borderId="4" xfId="6" applyBorder="1"/>
    <xf numFmtId="0" fontId="5" fillId="23" borderId="12" xfId="6" applyFill="1" applyBorder="1"/>
    <xf numFmtId="0" fontId="5" fillId="23" borderId="26" xfId="6" applyFill="1" applyBorder="1"/>
    <xf numFmtId="0" fontId="5" fillId="23" borderId="9" xfId="6" applyFill="1" applyBorder="1"/>
    <xf numFmtId="0" fontId="5" fillId="23" borderId="0" xfId="6" applyFill="1"/>
    <xf numFmtId="0" fontId="5" fillId="23" borderId="30" xfId="6" applyFill="1" applyBorder="1"/>
    <xf numFmtId="0" fontId="5" fillId="23" borderId="32" xfId="6" applyFill="1" applyBorder="1"/>
    <xf numFmtId="0" fontId="5" fillId="23" borderId="14" xfId="6" applyFill="1" applyBorder="1"/>
    <xf numFmtId="0" fontId="5" fillId="23" borderId="28" xfId="6" applyFill="1" applyBorder="1"/>
    <xf numFmtId="0" fontId="5" fillId="0" borderId="14" xfId="6" applyBorder="1"/>
    <xf numFmtId="0" fontId="5" fillId="0" borderId="28" xfId="6" applyBorder="1"/>
    <xf numFmtId="0" fontId="5" fillId="0" borderId="12" xfId="6" applyBorder="1"/>
    <xf numFmtId="0" fontId="5" fillId="0" borderId="26" xfId="6" applyBorder="1"/>
    <xf numFmtId="0" fontId="5" fillId="0" borderId="9" xfId="6" applyBorder="1"/>
    <xf numFmtId="0" fontId="5" fillId="0" borderId="25" xfId="6" applyBorder="1"/>
    <xf numFmtId="0" fontId="5" fillId="0" borderId="53" xfId="6" applyBorder="1" applyAlignment="1">
      <alignment wrapText="1"/>
    </xf>
    <xf numFmtId="0" fontId="5" fillId="0" borderId="54" xfId="6" applyBorder="1"/>
    <xf numFmtId="0" fontId="5" fillId="0" borderId="55" xfId="6" applyBorder="1"/>
    <xf numFmtId="0" fontId="5" fillId="0" borderId="53" xfId="6" applyBorder="1"/>
    <xf numFmtId="0" fontId="5" fillId="0" borderId="56" xfId="6" applyBorder="1" applyAlignment="1">
      <alignment horizontal="center"/>
    </xf>
    <xf numFmtId="0" fontId="5" fillId="0" borderId="57" xfId="6" applyBorder="1"/>
    <xf numFmtId="0" fontId="5" fillId="0" borderId="58" xfId="6" applyBorder="1"/>
    <xf numFmtId="0" fontId="5" fillId="0" borderId="59" xfId="6" applyBorder="1"/>
    <xf numFmtId="0" fontId="5" fillId="0" borderId="30" xfId="6" applyBorder="1"/>
    <xf numFmtId="0" fontId="5" fillId="0" borderId="60" xfId="6" applyBorder="1"/>
    <xf numFmtId="0" fontId="5" fillId="0" borderId="61" xfId="6" applyBorder="1"/>
    <xf numFmtId="0" fontId="5" fillId="0" borderId="62" xfId="6" applyBorder="1"/>
    <xf numFmtId="0" fontId="5" fillId="0" borderId="6" xfId="6" applyBorder="1"/>
    <xf numFmtId="0" fontId="5" fillId="0" borderId="63" xfId="6" applyBorder="1"/>
    <xf numFmtId="0" fontId="5" fillId="0" borderId="64" xfId="6" applyBorder="1"/>
    <xf numFmtId="0" fontId="5" fillId="0" borderId="65" xfId="6" applyBorder="1"/>
    <xf numFmtId="0" fontId="5" fillId="0" borderId="66" xfId="6" applyBorder="1"/>
    <xf numFmtId="0" fontId="5" fillId="0" borderId="67" xfId="6" applyBorder="1"/>
    <xf numFmtId="0" fontId="50" fillId="23" borderId="0" xfId="6" applyFont="1" applyFill="1"/>
    <xf numFmtId="0" fontId="51" fillId="23" borderId="0" xfId="6" applyFont="1" applyFill="1"/>
    <xf numFmtId="0" fontId="53" fillId="0" borderId="0" xfId="0" applyFont="1"/>
    <xf numFmtId="0" fontId="0" fillId="10" borderId="0" xfId="0" applyFill="1"/>
    <xf numFmtId="0" fontId="53" fillId="0" borderId="0" xfId="0" applyFont="1" applyAlignment="1">
      <alignment horizontal="left"/>
    </xf>
    <xf numFmtId="9" fontId="0" fillId="0" borderId="4" xfId="1" applyFont="1" applyBorder="1" applyAlignment="1">
      <alignment horizontal="center"/>
    </xf>
    <xf numFmtId="9" fontId="0" fillId="0" borderId="4" xfId="0" applyNumberFormat="1" applyBorder="1" applyAlignment="1">
      <alignment horizontal="center"/>
    </xf>
    <xf numFmtId="0" fontId="2" fillId="0" borderId="0" xfId="0" applyFont="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horizontal="center" vertical="center"/>
    </xf>
    <xf numFmtId="0" fontId="55" fillId="0" borderId="0" xfId="0" applyFont="1" applyAlignment="1">
      <alignment horizontal="center" vertical="center"/>
    </xf>
    <xf numFmtId="0" fontId="2" fillId="0" borderId="79" xfId="0" applyFont="1" applyBorder="1" applyAlignment="1">
      <alignment horizontal="center" vertical="center"/>
    </xf>
    <xf numFmtId="0" fontId="57" fillId="0" borderId="0" xfId="6" applyFont="1" applyAlignment="1">
      <alignment horizontal="center"/>
    </xf>
    <xf numFmtId="0" fontId="57" fillId="0" borderId="85" xfId="6" applyFont="1" applyBorder="1" applyAlignment="1">
      <alignment horizontal="center"/>
    </xf>
    <xf numFmtId="0" fontId="57" fillId="0" borderId="66" xfId="6" applyFont="1" applyBorder="1" applyAlignment="1">
      <alignment horizontal="center" vertical="center"/>
    </xf>
    <xf numFmtId="0" fontId="58" fillId="0" borderId="82" xfId="6" applyFont="1" applyBorder="1" applyAlignment="1">
      <alignment horizontal="center" vertical="center"/>
    </xf>
    <xf numFmtId="0" fontId="57" fillId="0" borderId="82" xfId="6" applyFont="1" applyBorder="1" applyAlignment="1">
      <alignment horizontal="center" vertical="center"/>
    </xf>
    <xf numFmtId="0" fontId="57" fillId="0" borderId="84" xfId="6" applyFont="1" applyBorder="1" applyAlignment="1">
      <alignment horizontal="center" vertical="center"/>
    </xf>
    <xf numFmtId="0" fontId="58" fillId="0" borderId="89" xfId="6" applyFont="1" applyBorder="1" applyAlignment="1">
      <alignment horizontal="center" vertical="center"/>
    </xf>
    <xf numFmtId="0" fontId="57" fillId="0" borderId="89" xfId="6" applyFont="1" applyBorder="1" applyAlignment="1">
      <alignment horizontal="center" vertical="center"/>
    </xf>
    <xf numFmtId="0" fontId="57" fillId="0" borderId="90" xfId="6" applyFont="1" applyBorder="1" applyAlignment="1">
      <alignment horizontal="center" vertical="center"/>
    </xf>
    <xf numFmtId="0" fontId="58" fillId="0" borderId="0" xfId="6" applyFont="1" applyAlignment="1">
      <alignment horizontal="center"/>
    </xf>
    <xf numFmtId="0" fontId="57" fillId="17" borderId="89" xfId="6" applyFont="1" applyFill="1" applyBorder="1" applyAlignment="1">
      <alignment horizontal="center"/>
    </xf>
    <xf numFmtId="0" fontId="57" fillId="17" borderId="89" xfId="6" applyFont="1" applyFill="1" applyBorder="1" applyAlignment="1">
      <alignment horizontal="center" vertical="center" wrapText="1"/>
    </xf>
    <xf numFmtId="0" fontId="57" fillId="17" borderId="89" xfId="6" applyFont="1" applyFill="1" applyBorder="1" applyAlignment="1">
      <alignment horizontal="center" vertical="center"/>
    </xf>
    <xf numFmtId="3" fontId="58" fillId="0" borderId="89" xfId="6" applyNumberFormat="1" applyFont="1" applyBorder="1" applyAlignment="1">
      <alignment horizontal="center"/>
    </xf>
    <xf numFmtId="9" fontId="58" fillId="0" borderId="89" xfId="9" applyFont="1" applyBorder="1" applyAlignment="1">
      <alignment horizontal="center"/>
    </xf>
    <xf numFmtId="0" fontId="58" fillId="0" borderId="65" xfId="6" applyFont="1" applyBorder="1" applyAlignment="1">
      <alignment horizontal="center" vertical="center"/>
    </xf>
    <xf numFmtId="0" fontId="58" fillId="19" borderId="65" xfId="6" applyFont="1" applyFill="1" applyBorder="1" applyAlignment="1">
      <alignment horizontal="center" vertical="center" wrapText="1"/>
    </xf>
    <xf numFmtId="0" fontId="58" fillId="27" borderId="65" xfId="6" applyFont="1" applyFill="1" applyBorder="1" applyAlignment="1">
      <alignment horizontal="center" vertical="center"/>
    </xf>
    <xf numFmtId="0" fontId="58" fillId="27" borderId="66" xfId="6" applyFont="1" applyFill="1" applyBorder="1" applyAlignment="1">
      <alignment horizontal="center" vertical="center"/>
    </xf>
    <xf numFmtId="0" fontId="58" fillId="27" borderId="67" xfId="6" applyFont="1" applyFill="1" applyBorder="1" applyAlignment="1">
      <alignment horizontal="center" vertical="center"/>
    </xf>
    <xf numFmtId="0" fontId="57" fillId="19" borderId="91" xfId="6" applyFont="1" applyFill="1" applyBorder="1" applyAlignment="1">
      <alignment horizontal="center" vertical="center"/>
    </xf>
    <xf numFmtId="0" fontId="57" fillId="28" borderId="62" xfId="6" applyFont="1" applyFill="1" applyBorder="1" applyAlignment="1">
      <alignment horizontal="center" vertical="center"/>
    </xf>
    <xf numFmtId="0" fontId="57" fillId="0" borderId="92" xfId="6" applyFont="1" applyBorder="1" applyAlignment="1">
      <alignment horizontal="center" vertical="center"/>
    </xf>
    <xf numFmtId="0" fontId="57" fillId="0" borderId="62" xfId="6" applyFont="1" applyBorder="1" applyAlignment="1">
      <alignment horizontal="center" vertical="center"/>
    </xf>
    <xf numFmtId="0" fontId="57" fillId="0" borderId="87" xfId="6" applyFont="1" applyBorder="1" applyAlignment="1">
      <alignment horizontal="center"/>
    </xf>
    <xf numFmtId="0" fontId="57" fillId="0" borderId="53" xfId="6" applyFont="1" applyBorder="1" applyAlignment="1">
      <alignment horizontal="center" vertical="center"/>
    </xf>
    <xf numFmtId="0" fontId="57" fillId="0" borderId="57" xfId="6" applyFont="1" applyBorder="1" applyAlignment="1">
      <alignment horizontal="center" vertical="center"/>
    </xf>
    <xf numFmtId="0" fontId="57" fillId="0" borderId="93" xfId="6" applyFont="1" applyBorder="1" applyAlignment="1">
      <alignment horizontal="center" vertical="center"/>
    </xf>
    <xf numFmtId="0" fontId="57" fillId="19" borderId="61" xfId="6" applyFont="1" applyFill="1" applyBorder="1" applyAlignment="1">
      <alignment horizontal="center" vertical="center"/>
    </xf>
    <xf numFmtId="0" fontId="57" fillId="0" borderId="58" xfId="6" applyFont="1" applyBorder="1" applyAlignment="1">
      <alignment horizontal="center" vertical="center"/>
    </xf>
    <xf numFmtId="0" fontId="57" fillId="0" borderId="60" xfId="6" applyFont="1" applyBorder="1" applyAlignment="1">
      <alignment horizontal="center" vertical="center"/>
    </xf>
    <xf numFmtId="0" fontId="57" fillId="0" borderId="33" xfId="6" applyFont="1" applyBorder="1" applyAlignment="1">
      <alignment horizontal="center" vertical="center"/>
    </xf>
    <xf numFmtId="0" fontId="57" fillId="0" borderId="63" xfId="6" applyFont="1" applyBorder="1" applyAlignment="1">
      <alignment horizontal="center" vertical="center"/>
    </xf>
    <xf numFmtId="0" fontId="57" fillId="0" borderId="27" xfId="6" applyFont="1" applyBorder="1" applyAlignment="1">
      <alignment horizontal="center" vertical="center"/>
    </xf>
    <xf numFmtId="0" fontId="57" fillId="0" borderId="94" xfId="6" applyFont="1" applyBorder="1" applyAlignment="1">
      <alignment horizontal="center" vertical="center"/>
    </xf>
    <xf numFmtId="0" fontId="57" fillId="0" borderId="58" xfId="6" applyFont="1" applyBorder="1" applyAlignment="1">
      <alignment horizontal="center"/>
    </xf>
    <xf numFmtId="0" fontId="57" fillId="0" borderId="59" xfId="6" applyFont="1" applyBorder="1" applyAlignment="1">
      <alignment horizontal="center"/>
    </xf>
    <xf numFmtId="0" fontId="57" fillId="0" borderId="59" xfId="6" applyFont="1" applyBorder="1" applyAlignment="1">
      <alignment horizontal="center" vertical="center"/>
    </xf>
    <xf numFmtId="0" fontId="57" fillId="19" borderId="96" xfId="6" applyFont="1" applyFill="1" applyBorder="1" applyAlignment="1">
      <alignment horizontal="center" vertical="center"/>
    </xf>
    <xf numFmtId="0" fontId="57" fillId="0" borderId="97" xfId="6" applyFont="1" applyBorder="1" applyAlignment="1">
      <alignment horizontal="center" vertical="center"/>
    </xf>
    <xf numFmtId="0" fontId="57" fillId="0" borderId="98" xfId="6" applyFont="1" applyBorder="1" applyAlignment="1">
      <alignment horizontal="center" vertical="center"/>
    </xf>
    <xf numFmtId="0" fontId="57" fillId="0" borderId="99" xfId="6" applyFont="1" applyBorder="1" applyAlignment="1">
      <alignment horizontal="center" vertical="center"/>
    </xf>
    <xf numFmtId="0" fontId="57" fillId="0" borderId="0" xfId="6" applyFont="1" applyAlignment="1">
      <alignment horizontal="center" vertical="center"/>
    </xf>
    <xf numFmtId="0" fontId="58" fillId="0" borderId="101" xfId="6" applyFont="1" applyBorder="1" applyAlignment="1">
      <alignment horizontal="center" vertical="center" wrapText="1"/>
    </xf>
    <xf numFmtId="1" fontId="57" fillId="19" borderId="11" xfId="6" applyNumberFormat="1" applyFont="1" applyFill="1" applyBorder="1" applyAlignment="1">
      <alignment horizontal="center" vertical="center"/>
    </xf>
    <xf numFmtId="1" fontId="57" fillId="0" borderId="0" xfId="6" applyNumberFormat="1" applyFont="1" applyAlignment="1">
      <alignment horizontal="center" vertical="center"/>
    </xf>
    <xf numFmtId="2" fontId="57" fillId="0" borderId="0" xfId="6" applyNumberFormat="1" applyFont="1" applyAlignment="1">
      <alignment horizontal="center"/>
    </xf>
    <xf numFmtId="169" fontId="58" fillId="0" borderId="0" xfId="9" applyNumberFormat="1" applyFont="1" applyBorder="1" applyAlignment="1">
      <alignment horizontal="center" vertical="center"/>
    </xf>
    <xf numFmtId="0" fontId="57" fillId="0" borderId="81" xfId="6" applyFont="1" applyBorder="1" applyAlignment="1">
      <alignment vertical="center"/>
    </xf>
    <xf numFmtId="0" fontId="57" fillId="0" borderId="82" xfId="6" applyFont="1" applyBorder="1" applyAlignment="1">
      <alignment vertical="center"/>
    </xf>
    <xf numFmtId="0" fontId="57" fillId="0" borderId="84" xfId="6" applyFont="1" applyBorder="1" applyAlignment="1">
      <alignment vertical="center"/>
    </xf>
    <xf numFmtId="0" fontId="57" fillId="0" borderId="85" xfId="6" applyFont="1" applyBorder="1" applyAlignment="1">
      <alignment vertical="center"/>
    </xf>
    <xf numFmtId="0" fontId="57" fillId="0" borderId="0" xfId="6" applyFont="1" applyAlignment="1">
      <alignment vertical="center"/>
    </xf>
    <xf numFmtId="0" fontId="57" fillId="0" borderId="87" xfId="6" applyFont="1" applyBorder="1" applyAlignment="1">
      <alignment vertical="center"/>
    </xf>
    <xf numFmtId="0" fontId="57" fillId="0" borderId="88" xfId="6" applyFont="1" applyBorder="1" applyAlignment="1">
      <alignment vertical="center"/>
    </xf>
    <xf numFmtId="0" fontId="57" fillId="0" borderId="89" xfId="6" applyFont="1" applyBorder="1" applyAlignment="1">
      <alignment vertical="center"/>
    </xf>
    <xf numFmtId="0" fontId="57" fillId="0" borderId="90" xfId="6" applyFont="1" applyBorder="1" applyAlignment="1">
      <alignment vertical="center"/>
    </xf>
    <xf numFmtId="0" fontId="0" fillId="11" borderId="4" xfId="0" applyFill="1" applyBorder="1" applyAlignment="1">
      <alignment horizontal="center"/>
    </xf>
    <xf numFmtId="0" fontId="0" fillId="10" borderId="4" xfId="0" applyFill="1" applyBorder="1" applyAlignment="1">
      <alignment horizontal="center"/>
    </xf>
    <xf numFmtId="170" fontId="0" fillId="0" borderId="4" xfId="0" applyNumberFormat="1" applyBorder="1" applyAlignment="1">
      <alignment horizontal="center"/>
    </xf>
    <xf numFmtId="0" fontId="60" fillId="0" borderId="0" xfId="0" applyFont="1"/>
    <xf numFmtId="1" fontId="0" fillId="0" borderId="0" xfId="0" applyNumberFormat="1"/>
    <xf numFmtId="0" fontId="0" fillId="31" borderId="0" xfId="0" applyFill="1"/>
    <xf numFmtId="0" fontId="0" fillId="30" borderId="4" xfId="0" applyFill="1" applyBorder="1" applyAlignment="1">
      <alignment horizontal="center"/>
    </xf>
    <xf numFmtId="170" fontId="0" fillId="10" borderId="4" xfId="0" applyNumberFormat="1" applyFill="1" applyBorder="1" applyAlignment="1">
      <alignment horizontal="center"/>
    </xf>
    <xf numFmtId="0" fontId="0" fillId="14" borderId="4" xfId="0" applyFill="1" applyBorder="1"/>
    <xf numFmtId="0" fontId="0" fillId="10" borderId="4" xfId="0" applyFill="1" applyBorder="1" applyAlignment="1">
      <alignment horizontal="left"/>
    </xf>
    <xf numFmtId="0" fontId="0" fillId="17" borderId="0" xfId="0" applyFill="1" applyAlignment="1">
      <alignment horizontal="left"/>
    </xf>
    <xf numFmtId="44" fontId="0" fillId="0" borderId="4" xfId="11" applyFont="1" applyBorder="1"/>
    <xf numFmtId="0" fontId="0" fillId="32" borderId="33" xfId="0" applyFill="1" applyBorder="1"/>
    <xf numFmtId="2" fontId="0" fillId="10" borderId="4" xfId="0" applyNumberFormat="1" applyFill="1" applyBorder="1"/>
    <xf numFmtId="0" fontId="2" fillId="0" borderId="4" xfId="0" applyFont="1" applyBorder="1"/>
    <xf numFmtId="0" fontId="2" fillId="31" borderId="0" xfId="0" applyFont="1" applyFill="1"/>
    <xf numFmtId="171" fontId="0" fillId="0" borderId="4" xfId="10" applyNumberFormat="1" applyFont="1" applyBorder="1"/>
    <xf numFmtId="169" fontId="0" fillId="0" borderId="4" xfId="1" applyNumberFormat="1" applyFont="1" applyBorder="1"/>
    <xf numFmtId="0" fontId="0" fillId="0" borderId="0" xfId="0" applyAlignment="1">
      <alignment horizontal="center" wrapText="1"/>
    </xf>
    <xf numFmtId="0" fontId="11" fillId="17" borderId="0" xfId="0" applyFont="1" applyFill="1" applyAlignment="1">
      <alignment horizontal="center" wrapText="1"/>
    </xf>
    <xf numFmtId="0" fontId="0" fillId="0" borderId="0" xfId="0" applyAlignment="1">
      <alignment wrapText="1"/>
    </xf>
    <xf numFmtId="1" fontId="0" fillId="0" borderId="4" xfId="0" applyNumberFormat="1" applyBorder="1" applyAlignment="1">
      <alignment horizontal="center"/>
    </xf>
    <xf numFmtId="170" fontId="0" fillId="0" borderId="0" xfId="0" applyNumberFormat="1"/>
    <xf numFmtId="0" fontId="61" fillId="0" borderId="0" xfId="0" applyFont="1" applyAlignment="1">
      <alignment horizontal="center"/>
    </xf>
    <xf numFmtId="170" fontId="61" fillId="0" borderId="0" xfId="0" applyNumberFormat="1" applyFont="1"/>
    <xf numFmtId="170" fontId="0" fillId="0" borderId="0" xfId="0" applyNumberFormat="1" applyAlignment="1">
      <alignment horizontal="center" vertical="center"/>
    </xf>
    <xf numFmtId="170" fontId="0" fillId="0" borderId="0" xfId="0" applyNumberFormat="1" applyAlignment="1">
      <alignment horizontal="center"/>
    </xf>
    <xf numFmtId="0" fontId="62" fillId="0" borderId="0" xfId="0" applyFont="1"/>
    <xf numFmtId="0" fontId="62" fillId="0" borderId="0" xfId="0" applyFont="1" applyAlignment="1">
      <alignment horizontal="center"/>
    </xf>
    <xf numFmtId="0" fontId="2" fillId="31" borderId="0" xfId="0" applyFont="1" applyFill="1" applyAlignment="1">
      <alignment horizontal="center"/>
    </xf>
    <xf numFmtId="0" fontId="63" fillId="0" borderId="89" xfId="0" applyFont="1" applyBorder="1" applyAlignment="1">
      <alignment horizontal="center" wrapText="1"/>
    </xf>
    <xf numFmtId="0" fontId="63" fillId="0" borderId="0" xfId="0" applyFont="1" applyAlignment="1">
      <alignment horizontal="center" wrapText="1"/>
    </xf>
    <xf numFmtId="1" fontId="2" fillId="0" borderId="0" xfId="0" applyNumberFormat="1" applyFont="1" applyAlignment="1">
      <alignment horizontal="center"/>
    </xf>
    <xf numFmtId="0" fontId="2" fillId="0" borderId="0" xfId="0" applyFont="1" applyAlignment="1">
      <alignment vertical="top"/>
    </xf>
    <xf numFmtId="0" fontId="2" fillId="18" borderId="4" xfId="0" applyFont="1" applyFill="1" applyBorder="1" applyAlignment="1">
      <alignment horizontal="center"/>
    </xf>
    <xf numFmtId="1" fontId="2" fillId="0" borderId="4" xfId="0" applyNumberFormat="1" applyFont="1" applyBorder="1" applyAlignment="1">
      <alignment horizontal="center"/>
    </xf>
    <xf numFmtId="2" fontId="2" fillId="0" borderId="4" xfId="0" applyNumberFormat="1" applyFont="1" applyBorder="1" applyAlignment="1">
      <alignment horizontal="center"/>
    </xf>
    <xf numFmtId="9" fontId="2" fillId="0" borderId="4" xfId="1" applyFont="1" applyBorder="1" applyAlignment="1">
      <alignment horizontal="center"/>
    </xf>
    <xf numFmtId="43" fontId="2" fillId="0" borderId="4" xfId="10" applyFont="1" applyBorder="1" applyAlignment="1">
      <alignment horizontal="center"/>
    </xf>
    <xf numFmtId="172" fontId="2" fillId="0" borderId="4" xfId="11" applyNumberFormat="1" applyFont="1" applyBorder="1" applyAlignment="1">
      <alignment horizontal="center"/>
    </xf>
    <xf numFmtId="1" fontId="2" fillId="14" borderId="4" xfId="0" applyNumberFormat="1" applyFont="1" applyFill="1" applyBorder="1" applyAlignment="1">
      <alignment horizontal="center"/>
    </xf>
    <xf numFmtId="0" fontId="2" fillId="14" borderId="4" xfId="0" applyFont="1" applyFill="1" applyBorder="1" applyAlignment="1">
      <alignment horizontal="center"/>
    </xf>
    <xf numFmtId="172" fontId="2" fillId="14" borderId="4" xfId="11" applyNumberFormat="1" applyFont="1" applyFill="1" applyBorder="1" applyAlignment="1">
      <alignment horizontal="center"/>
    </xf>
    <xf numFmtId="2" fontId="2" fillId="14" borderId="4" xfId="0" applyNumberFormat="1" applyFont="1" applyFill="1" applyBorder="1" applyAlignment="1">
      <alignment horizontal="center"/>
    </xf>
    <xf numFmtId="0" fontId="23" fillId="0" borderId="0" xfId="0" applyFont="1"/>
    <xf numFmtId="0" fontId="0" fillId="21" borderId="4" xfId="0" applyFill="1" applyBorder="1" applyAlignment="1">
      <alignment horizontal="center"/>
    </xf>
    <xf numFmtId="0" fontId="0" fillId="18" borderId="4" xfId="0" applyFill="1" applyBorder="1" applyAlignment="1">
      <alignment horizontal="center"/>
    </xf>
    <xf numFmtId="0" fontId="0" fillId="34" borderId="4" xfId="0" applyFill="1" applyBorder="1" applyAlignment="1">
      <alignment horizontal="center"/>
    </xf>
    <xf numFmtId="0" fontId="0" fillId="35" borderId="0" xfId="0" applyFill="1"/>
    <xf numFmtId="0" fontId="0" fillId="35" borderId="4" xfId="0" applyFill="1" applyBorder="1" applyAlignment="1">
      <alignment horizontal="center"/>
    </xf>
    <xf numFmtId="0" fontId="0" fillId="0" borderId="54" xfId="0" applyBorder="1"/>
    <xf numFmtId="0" fontId="0" fillId="0" borderId="104" xfId="0" applyBorder="1"/>
    <xf numFmtId="0" fontId="16" fillId="0" borderId="0" xfId="0" applyFont="1"/>
    <xf numFmtId="0" fontId="0" fillId="18" borderId="0" xfId="0" applyFill="1"/>
    <xf numFmtId="0" fontId="0" fillId="34" borderId="0" xfId="0" applyFill="1"/>
    <xf numFmtId="0" fontId="0" fillId="0" borderId="4" xfId="0" applyBorder="1" applyAlignment="1">
      <alignment horizontal="center" wrapText="1"/>
    </xf>
    <xf numFmtId="9" fontId="0" fillId="21" borderId="4" xfId="1" applyFont="1" applyFill="1" applyBorder="1" applyAlignment="1">
      <alignment horizontal="center"/>
    </xf>
    <xf numFmtId="9" fontId="0" fillId="0" borderId="4" xfId="0" applyNumberFormat="1" applyBorder="1" applyAlignment="1">
      <alignment horizontal="center" vertical="center"/>
    </xf>
    <xf numFmtId="169" fontId="0" fillId="10" borderId="4" xfId="0" applyNumberFormat="1" applyFill="1" applyBorder="1" applyAlignment="1">
      <alignment horizontal="center" vertical="center"/>
    </xf>
    <xf numFmtId="0" fontId="0" fillId="21" borderId="4" xfId="0" applyFill="1" applyBorder="1" applyAlignment="1">
      <alignment horizontal="center" vertical="center"/>
    </xf>
    <xf numFmtId="0" fontId="0" fillId="21" borderId="4" xfId="0" applyFill="1" applyBorder="1" applyAlignment="1">
      <alignment horizontal="center" vertical="center" wrapText="1"/>
    </xf>
    <xf numFmtId="0" fontId="2" fillId="0" borderId="0" xfId="0" applyFont="1" applyAlignment="1">
      <alignment vertical="center"/>
    </xf>
    <xf numFmtId="0" fontId="0" fillId="29" borderId="0" xfId="0" applyFill="1"/>
    <xf numFmtId="0" fontId="0" fillId="26" borderId="0" xfId="0" applyFill="1"/>
    <xf numFmtId="0" fontId="0" fillId="10" borderId="4" xfId="0" applyFill="1" applyBorder="1"/>
    <xf numFmtId="0" fontId="0" fillId="0" borderId="30" xfId="0" applyBorder="1" applyAlignment="1">
      <alignment horizontal="center"/>
    </xf>
    <xf numFmtId="0" fontId="0" fillId="0" borderId="33" xfId="0" applyBorder="1" applyAlignment="1">
      <alignment horizontal="center"/>
    </xf>
    <xf numFmtId="0" fontId="0" fillId="0" borderId="12" xfId="0" applyBorder="1" applyAlignment="1">
      <alignment horizontal="center"/>
    </xf>
    <xf numFmtId="0" fontId="0" fillId="0" borderId="27" xfId="0" applyBorder="1" applyAlignment="1">
      <alignment horizontal="center"/>
    </xf>
    <xf numFmtId="0" fontId="2" fillId="0" borderId="30" xfId="0" applyFont="1" applyBorder="1"/>
    <xf numFmtId="0" fontId="2" fillId="0" borderId="33" xfId="0" applyFont="1" applyBorder="1"/>
    <xf numFmtId="0" fontId="19" fillId="36" borderId="0" xfId="0" applyFont="1" applyFill="1" applyAlignment="1">
      <alignment vertical="center"/>
    </xf>
    <xf numFmtId="0" fontId="15" fillId="21" borderId="7" xfId="0" applyFont="1" applyFill="1" applyBorder="1" applyAlignment="1">
      <alignment vertical="center"/>
    </xf>
    <xf numFmtId="166" fontId="15" fillId="21" borderId="8" xfId="3" applyNumberFormat="1" applyFont="1" applyFill="1" applyBorder="1" applyAlignment="1">
      <alignment horizontal="center" vertical="center"/>
    </xf>
    <xf numFmtId="0" fontId="0" fillId="21" borderId="0" xfId="0" applyFill="1" applyAlignment="1">
      <alignment vertical="center"/>
    </xf>
    <xf numFmtId="0" fontId="22" fillId="38" borderId="15" xfId="0" applyFont="1" applyFill="1" applyBorder="1" applyAlignment="1">
      <alignment horizontal="center" vertical="center"/>
    </xf>
    <xf numFmtId="0" fontId="22" fillId="38" borderId="16" xfId="0" applyFont="1" applyFill="1" applyBorder="1" applyAlignment="1">
      <alignment horizontal="center" vertical="center"/>
    </xf>
    <xf numFmtId="0" fontId="22" fillId="38" borderId="17" xfId="0" applyFont="1" applyFill="1" applyBorder="1" applyAlignment="1">
      <alignment horizontal="center" vertical="center"/>
    </xf>
    <xf numFmtId="0" fontId="23" fillId="0" borderId="19" xfId="0" applyFont="1" applyBorder="1" applyAlignment="1">
      <alignment horizontal="center" vertical="center"/>
    </xf>
    <xf numFmtId="14" fontId="23" fillId="0" borderId="20" xfId="0" applyNumberFormat="1" applyFont="1" applyBorder="1" applyAlignment="1">
      <alignment horizontal="center" vertical="center"/>
    </xf>
    <xf numFmtId="0" fontId="23" fillId="0" borderId="20" xfId="0" applyFont="1" applyBorder="1" applyAlignment="1">
      <alignment horizontal="center" vertical="center"/>
    </xf>
    <xf numFmtId="9" fontId="23" fillId="0" borderId="20" xfId="0" applyNumberFormat="1" applyFont="1" applyBorder="1" applyAlignment="1">
      <alignment horizontal="center" vertical="center"/>
    </xf>
    <xf numFmtId="0" fontId="23" fillId="12" borderId="21" xfId="0" applyFont="1" applyFill="1" applyBorder="1" applyAlignment="1">
      <alignment horizontal="center" vertical="center"/>
    </xf>
    <xf numFmtId="0" fontId="23" fillId="0" borderId="22" xfId="0" applyFont="1" applyBorder="1" applyAlignment="1">
      <alignment horizontal="center" vertical="center"/>
    </xf>
    <xf numFmtId="14" fontId="23" fillId="0" borderId="23" xfId="0" applyNumberFormat="1" applyFont="1" applyBorder="1" applyAlignment="1">
      <alignment horizontal="center" vertical="center"/>
    </xf>
    <xf numFmtId="0" fontId="23" fillId="0" borderId="23" xfId="0" applyFont="1" applyBorder="1" applyAlignment="1">
      <alignment horizontal="center" vertical="center"/>
    </xf>
    <xf numFmtId="0" fontId="23" fillId="12" borderId="24" xfId="0" applyFont="1" applyFill="1" applyBorder="1" applyAlignment="1">
      <alignment horizontal="center" vertical="center"/>
    </xf>
    <xf numFmtId="0" fontId="0" fillId="0" borderId="6" xfId="0" applyBorder="1" applyAlignment="1">
      <alignment horizontal="center"/>
    </xf>
    <xf numFmtId="0" fontId="0" fillId="16" borderId="31" xfId="0" applyFill="1" applyBorder="1" applyAlignment="1">
      <alignment vertical="center"/>
    </xf>
    <xf numFmtId="0" fontId="0" fillId="16" borderId="11" xfId="0" applyFill="1" applyBorder="1" applyAlignment="1">
      <alignment vertical="center"/>
    </xf>
    <xf numFmtId="0" fontId="0" fillId="16" borderId="14" xfId="0" applyFill="1" applyBorder="1" applyAlignment="1">
      <alignment vertical="center"/>
    </xf>
    <xf numFmtId="0" fontId="11" fillId="36" borderId="6" xfId="0" applyFont="1" applyFill="1" applyBorder="1" applyAlignment="1">
      <alignment horizontal="center" vertical="center" wrapText="1"/>
    </xf>
    <xf numFmtId="0" fontId="11" fillId="36" borderId="0" xfId="0" applyFont="1" applyFill="1" applyAlignment="1">
      <alignment horizontal="center" vertical="center" wrapText="1"/>
    </xf>
    <xf numFmtId="0" fontId="11" fillId="36" borderId="25" xfId="0" applyFont="1" applyFill="1" applyBorder="1" applyAlignment="1">
      <alignment horizontal="center" vertical="center" wrapText="1"/>
    </xf>
    <xf numFmtId="0" fontId="11" fillId="37" borderId="4" xfId="0" applyFont="1" applyFill="1" applyBorder="1" applyAlignment="1">
      <alignment horizontal="center" vertical="center" wrapText="1"/>
    </xf>
    <xf numFmtId="0" fontId="11" fillId="33" borderId="4" xfId="0" applyFont="1" applyFill="1" applyBorder="1" applyAlignment="1">
      <alignment horizontal="center" vertical="center" wrapText="1"/>
    </xf>
    <xf numFmtId="0" fontId="11" fillId="13" borderId="4" xfId="0" applyFont="1" applyFill="1" applyBorder="1" applyAlignment="1">
      <alignment horizontal="center" vertical="center"/>
    </xf>
    <xf numFmtId="0" fontId="11" fillId="13" borderId="25" xfId="0" applyFont="1" applyFill="1" applyBorder="1" applyAlignment="1">
      <alignment horizontal="center" vertical="center" wrapText="1"/>
    </xf>
    <xf numFmtId="0" fontId="11" fillId="13" borderId="25" xfId="0" applyFont="1" applyFill="1" applyBorder="1" applyAlignment="1">
      <alignment horizontal="center" vertical="center"/>
    </xf>
    <xf numFmtId="0" fontId="2" fillId="0" borderId="0" xfId="0" applyFont="1" applyAlignment="1">
      <alignment horizontal="center" vertical="center" wrapText="1"/>
    </xf>
    <xf numFmtId="0" fontId="2" fillId="34" borderId="11" xfId="0" applyFont="1" applyFill="1" applyBorder="1" applyAlignment="1">
      <alignment horizontal="center" vertical="center" wrapText="1"/>
    </xf>
    <xf numFmtId="0" fontId="2" fillId="34" borderId="4" xfId="0" applyFont="1" applyFill="1" applyBorder="1" applyAlignment="1">
      <alignment horizontal="center" vertical="center" wrapText="1"/>
    </xf>
    <xf numFmtId="0" fontId="2" fillId="21" borderId="0" xfId="0" applyFont="1" applyFill="1"/>
    <xf numFmtId="0" fontId="2" fillId="21" borderId="30" xfId="0" applyFont="1" applyFill="1" applyBorder="1"/>
    <xf numFmtId="0" fontId="2" fillId="21" borderId="33" xfId="0" applyFont="1" applyFill="1" applyBorder="1"/>
    <xf numFmtId="0" fontId="2" fillId="21" borderId="32" xfId="0" applyFont="1" applyFill="1" applyBorder="1"/>
    <xf numFmtId="0" fontId="2" fillId="21" borderId="12" xfId="0" applyFont="1" applyFill="1" applyBorder="1"/>
    <xf numFmtId="0" fontId="2" fillId="21" borderId="27" xfId="0" applyFont="1" applyFill="1" applyBorder="1"/>
    <xf numFmtId="0" fontId="2" fillId="21" borderId="26" xfId="0" applyFont="1" applyFill="1" applyBorder="1"/>
    <xf numFmtId="0" fontId="2" fillId="21" borderId="28" xfId="0" applyFont="1" applyFill="1" applyBorder="1"/>
    <xf numFmtId="0" fontId="2" fillId="21" borderId="32" xfId="0" applyFont="1" applyFill="1" applyBorder="1" applyAlignment="1">
      <alignment horizontal="center"/>
    </xf>
    <xf numFmtId="0" fontId="0" fillId="21" borderId="4" xfId="0" applyFill="1" applyBorder="1"/>
    <xf numFmtId="0" fontId="2" fillId="34" borderId="4" xfId="0" applyFont="1" applyFill="1" applyBorder="1" applyAlignment="1">
      <alignment horizontal="center"/>
    </xf>
    <xf numFmtId="0" fontId="2" fillId="39" borderId="0" xfId="0" applyFont="1" applyFill="1" applyAlignment="1">
      <alignment horizontal="center"/>
    </xf>
    <xf numFmtId="0" fontId="2" fillId="39" borderId="4" xfId="0" applyFont="1" applyFill="1" applyBorder="1" applyAlignment="1">
      <alignment horizontal="center"/>
    </xf>
    <xf numFmtId="9" fontId="2" fillId="39" borderId="0" xfId="0" applyNumberFormat="1" applyFont="1" applyFill="1" applyAlignment="1">
      <alignment horizontal="center"/>
    </xf>
    <xf numFmtId="0" fontId="0" fillId="35" borderId="4" xfId="0" applyFill="1" applyBorder="1"/>
    <xf numFmtId="0" fontId="57" fillId="17" borderId="0" xfId="6" applyFont="1" applyFill="1" applyAlignment="1">
      <alignment horizontal="center" vertical="center"/>
    </xf>
    <xf numFmtId="0" fontId="5" fillId="0" borderId="0" xfId="0" applyFont="1" applyAlignment="1">
      <alignment vertical="top" wrapText="1"/>
    </xf>
    <xf numFmtId="0" fontId="4" fillId="0" borderId="1" xfId="0" applyFont="1" applyBorder="1" applyAlignment="1">
      <alignment horizontal="center" vertical="center"/>
    </xf>
    <xf numFmtId="0" fontId="4" fillId="0" borderId="105" xfId="0" applyFont="1" applyBorder="1" applyAlignment="1">
      <alignment vertical="center" wrapText="1"/>
    </xf>
    <xf numFmtId="0" fontId="0" fillId="0" borderId="6" xfId="0" applyBorder="1"/>
    <xf numFmtId="0" fontId="4" fillId="0" borderId="4" xfId="0" applyFont="1" applyBorder="1" applyAlignment="1">
      <alignment horizontal="center" vertical="center"/>
    </xf>
    <xf numFmtId="0" fontId="5" fillId="0" borderId="4" xfId="0" applyFont="1" applyBorder="1" applyAlignment="1">
      <alignment vertical="top" wrapText="1"/>
    </xf>
    <xf numFmtId="0" fontId="2" fillId="0" borderId="4" xfId="0" applyFont="1" applyBorder="1" applyAlignment="1">
      <alignment horizontal="left"/>
    </xf>
    <xf numFmtId="0" fontId="2" fillId="24" borderId="4" xfId="0" applyFont="1" applyFill="1" applyBorder="1" applyAlignment="1">
      <alignment horizontal="center"/>
    </xf>
    <xf numFmtId="0" fontId="2" fillId="21" borderId="4" xfId="0" applyFont="1" applyFill="1" applyBorder="1" applyAlignment="1">
      <alignment horizontal="center"/>
    </xf>
    <xf numFmtId="0" fontId="12" fillId="17" borderId="0" xfId="0" applyFont="1" applyFill="1" applyAlignment="1">
      <alignment horizontal="center" vertical="center"/>
    </xf>
    <xf numFmtId="0" fontId="0" fillId="17" borderId="0" xfId="0" applyFill="1" applyAlignment="1">
      <alignment horizontal="center"/>
    </xf>
    <xf numFmtId="0" fontId="0" fillId="0" borderId="28" xfId="0" applyBorder="1"/>
    <xf numFmtId="0" fontId="0" fillId="0" borderId="14" xfId="0" applyBorder="1"/>
    <xf numFmtId="0" fontId="0" fillId="0" borderId="31" xfId="0" applyBorder="1"/>
    <xf numFmtId="0" fontId="0" fillId="0" borderId="9" xfId="0" applyBorder="1"/>
    <xf numFmtId="0" fontId="0" fillId="0" borderId="25" xfId="0" applyBorder="1"/>
    <xf numFmtId="0" fontId="0" fillId="17" borderId="12" xfId="0" applyFill="1" applyBorder="1" applyAlignment="1">
      <alignment horizontal="center"/>
    </xf>
    <xf numFmtId="0" fontId="0" fillId="17" borderId="26" xfId="0" applyFill="1" applyBorder="1" applyAlignment="1">
      <alignment horizontal="center"/>
    </xf>
    <xf numFmtId="0" fontId="0" fillId="17" borderId="27" xfId="0" applyFill="1" applyBorder="1" applyAlignment="1">
      <alignment horizontal="center"/>
    </xf>
    <xf numFmtId="0" fontId="0" fillId="17" borderId="9" xfId="0" applyFill="1" applyBorder="1" applyAlignment="1">
      <alignment horizontal="center"/>
    </xf>
    <xf numFmtId="0" fontId="0" fillId="17" borderId="25" xfId="0" applyFill="1" applyBorder="1" applyAlignment="1">
      <alignment horizontal="center"/>
    </xf>
    <xf numFmtId="0" fontId="0" fillId="17" borderId="14" xfId="0" applyFill="1" applyBorder="1" applyAlignment="1">
      <alignment horizontal="center"/>
    </xf>
    <xf numFmtId="0" fontId="0" fillId="17" borderId="28" xfId="0" applyFill="1" applyBorder="1" applyAlignment="1">
      <alignment horizontal="center"/>
    </xf>
    <xf numFmtId="0" fontId="0" fillId="17" borderId="31" xfId="0" applyFill="1" applyBorder="1" applyAlignment="1">
      <alignment horizontal="center"/>
    </xf>
    <xf numFmtId="0" fontId="0" fillId="17" borderId="9" xfId="0" applyFill="1" applyBorder="1" applyAlignment="1">
      <alignment horizontal="center" vertical="top"/>
    </xf>
    <xf numFmtId="0" fontId="0" fillId="17" borderId="0" xfId="0" applyFill="1" applyAlignment="1">
      <alignment horizontal="center" vertical="top"/>
    </xf>
    <xf numFmtId="0" fontId="0" fillId="17" borderId="25" xfId="0" applyFill="1" applyBorder="1" applyAlignment="1">
      <alignment horizontal="center" vertical="top"/>
    </xf>
    <xf numFmtId="0" fontId="0" fillId="17" borderId="12" xfId="0" applyFill="1" applyBorder="1" applyAlignment="1">
      <alignment horizontal="left"/>
    </xf>
    <xf numFmtId="0" fontId="0" fillId="17" borderId="4" xfId="0" applyFill="1" applyBorder="1" applyAlignment="1">
      <alignment horizontal="center"/>
    </xf>
    <xf numFmtId="0" fontId="0" fillId="0" borderId="9" xfId="0" applyBorder="1" applyAlignment="1">
      <alignment horizontal="center"/>
    </xf>
    <xf numFmtId="0" fontId="0" fillId="0" borderId="25" xfId="0" applyBorder="1" applyAlignment="1">
      <alignment horizontal="center"/>
    </xf>
    <xf numFmtId="0" fontId="2" fillId="0" borderId="9" xfId="0" applyFont="1" applyBorder="1" applyAlignment="1">
      <alignment horizontal="right"/>
    </xf>
    <xf numFmtId="0" fontId="2" fillId="0" borderId="0" xfId="0" applyFont="1" applyAlignment="1">
      <alignment horizontal="right"/>
    </xf>
    <xf numFmtId="0" fontId="2" fillId="0" borderId="9" xfId="0" applyFont="1" applyBorder="1" applyAlignment="1">
      <alignment horizontal="center"/>
    </xf>
    <xf numFmtId="0" fontId="2" fillId="0" borderId="25" xfId="0" applyFont="1" applyBorder="1" applyAlignment="1">
      <alignment horizontal="center"/>
    </xf>
    <xf numFmtId="0" fontId="0" fillId="9" borderId="4" xfId="0" applyFill="1" applyBorder="1" applyAlignment="1">
      <alignment horizontal="center" vertical="center"/>
    </xf>
    <xf numFmtId="9" fontId="0" fillId="17" borderId="0" xfId="1" applyFont="1" applyFill="1"/>
    <xf numFmtId="0" fontId="0" fillId="17" borderId="0" xfId="0" applyFill="1" applyAlignment="1">
      <alignment horizontal="center" vertical="center"/>
    </xf>
    <xf numFmtId="0" fontId="0" fillId="17" borderId="0" xfId="0" applyFill="1" applyAlignment="1">
      <alignment horizontal="center" vertical="center" wrapText="1"/>
    </xf>
    <xf numFmtId="0" fontId="2" fillId="14" borderId="4" xfId="0" applyFont="1" applyFill="1" applyBorder="1" applyAlignment="1">
      <alignment horizontal="left"/>
    </xf>
    <xf numFmtId="0" fontId="66" fillId="0" borderId="0" xfId="0" applyFont="1"/>
    <xf numFmtId="0" fontId="69" fillId="0" borderId="0" xfId="0" applyFont="1"/>
    <xf numFmtId="0" fontId="71" fillId="0" borderId="0" xfId="0" applyFont="1"/>
    <xf numFmtId="0" fontId="2" fillId="17" borderId="26" xfId="0" applyFont="1" applyFill="1" applyBorder="1" applyAlignment="1">
      <alignment vertical="top"/>
    </xf>
    <xf numFmtId="0" fontId="2" fillId="17" borderId="27" xfId="0" applyFont="1" applyFill="1" applyBorder="1" applyAlignment="1">
      <alignment vertical="top"/>
    </xf>
    <xf numFmtId="0" fontId="2" fillId="34" borderId="12" xfId="0" applyFont="1" applyFill="1" applyBorder="1" applyAlignment="1">
      <alignment vertical="top"/>
    </xf>
    <xf numFmtId="0" fontId="2" fillId="34" borderId="26" xfId="0" applyFont="1" applyFill="1" applyBorder="1" applyAlignment="1">
      <alignment vertical="top"/>
    </xf>
    <xf numFmtId="0" fontId="0" fillId="10" borderId="0" xfId="0" applyFill="1" applyAlignment="1">
      <alignment horizontal="left"/>
    </xf>
    <xf numFmtId="0" fontId="0" fillId="40" borderId="4"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4" xfId="0" applyFill="1" applyBorder="1" applyAlignment="1">
      <alignment horizontal="center" vertical="center"/>
    </xf>
    <xf numFmtId="0" fontId="0" fillId="32" borderId="4" xfId="0" applyFill="1" applyBorder="1" applyAlignment="1">
      <alignment horizontal="center" vertical="center" wrapText="1"/>
    </xf>
    <xf numFmtId="0" fontId="0" fillId="9" borderId="4" xfId="0" applyFill="1" applyBorder="1" applyAlignment="1">
      <alignment horizontal="center" vertical="center" wrapText="1"/>
    </xf>
    <xf numFmtId="9" fontId="0" fillId="0" borderId="0" xfId="1" applyFont="1" applyBorder="1" applyAlignment="1">
      <alignment vertical="center"/>
    </xf>
    <xf numFmtId="9" fontId="0" fillId="0" borderId="0" xfId="1" applyFont="1" applyAlignment="1">
      <alignment vertical="center"/>
    </xf>
    <xf numFmtId="0" fontId="0" fillId="0" borderId="0" xfId="0" applyAlignment="1">
      <alignment horizontal="center" vertical="center" wrapText="1"/>
    </xf>
    <xf numFmtId="0" fontId="3" fillId="6" borderId="0" xfId="0" applyFont="1" applyFill="1" applyAlignment="1">
      <alignment horizontal="center" vertical="center" wrapText="1"/>
    </xf>
    <xf numFmtId="0" fontId="56" fillId="41" borderId="4" xfId="0" applyFont="1" applyFill="1" applyBorder="1" applyAlignment="1">
      <alignment horizontal="center"/>
    </xf>
    <xf numFmtId="0" fontId="3" fillId="2" borderId="0" xfId="0" applyFont="1" applyFill="1" applyAlignment="1">
      <alignment horizontal="center" vertical="center" wrapText="1"/>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3" fillId="5" borderId="0" xfId="0" applyFont="1" applyFill="1" applyAlignment="1">
      <alignment horizontal="center" vertical="center" wrapText="1"/>
    </xf>
    <xf numFmtId="0" fontId="65" fillId="41" borderId="0" xfId="0" applyFont="1" applyFill="1" applyAlignment="1">
      <alignment horizontal="center" vertical="center"/>
    </xf>
    <xf numFmtId="0" fontId="0" fillId="9" borderId="4" xfId="0" applyFill="1" applyBorder="1" applyAlignment="1">
      <alignment horizontal="center" vertical="center"/>
    </xf>
    <xf numFmtId="0" fontId="0" fillId="7" borderId="4" xfId="0" applyFill="1" applyBorder="1" applyAlignment="1">
      <alignment horizontal="center" vertical="center"/>
    </xf>
    <xf numFmtId="0" fontId="19" fillId="36" borderId="12" xfId="0" applyFont="1" applyFill="1" applyBorder="1" applyAlignment="1">
      <alignment horizontal="center" vertical="center" wrapText="1"/>
    </xf>
    <xf numFmtId="0" fontId="19" fillId="36" borderId="9" xfId="0"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3" fillId="0" borderId="4" xfId="0" applyFont="1" applyBorder="1" applyAlignment="1">
      <alignment horizontal="center" vertical="center"/>
    </xf>
    <xf numFmtId="0" fontId="14" fillId="36" borderId="6" xfId="0" applyFont="1" applyFill="1" applyBorder="1" applyAlignment="1">
      <alignment horizontal="center" vertical="center" textRotation="255" wrapText="1"/>
    </xf>
    <xf numFmtId="0" fontId="14" fillId="36" borderId="9" xfId="0" applyFont="1" applyFill="1" applyBorder="1" applyAlignment="1">
      <alignment horizontal="center" vertical="center" textRotation="255" wrapText="1"/>
    </xf>
    <xf numFmtId="0" fontId="14" fillId="36" borderId="10" xfId="0" applyFont="1" applyFill="1" applyBorder="1" applyAlignment="1">
      <alignment horizontal="center" vertical="center" textRotation="255" wrapText="1"/>
    </xf>
    <xf numFmtId="0" fontId="14" fillId="36" borderId="11" xfId="0" applyFont="1" applyFill="1" applyBorder="1" applyAlignment="1">
      <alignment horizontal="center" vertical="center" textRotation="255" wrapText="1"/>
    </xf>
    <xf numFmtId="0" fontId="19" fillId="36" borderId="0" xfId="0" applyFont="1" applyFill="1" applyAlignment="1">
      <alignment horizontal="center" vertical="center"/>
    </xf>
    <xf numFmtId="0" fontId="56" fillId="41" borderId="0" xfId="0" applyFont="1" applyFill="1" applyAlignment="1">
      <alignment horizontal="center" vertical="center"/>
    </xf>
    <xf numFmtId="2" fontId="25" fillId="0" borderId="12" xfId="0" applyNumberFormat="1" applyFont="1" applyBorder="1" applyAlignment="1">
      <alignment horizontal="center" vertical="center"/>
    </xf>
    <xf numFmtId="0" fontId="25" fillId="0" borderId="27" xfId="0" applyFont="1" applyBorder="1" applyAlignment="1">
      <alignment horizontal="center" vertical="center"/>
    </xf>
    <xf numFmtId="0" fontId="25" fillId="0" borderId="14" xfId="0" applyFont="1" applyBorder="1" applyAlignment="1">
      <alignment horizontal="center" vertical="center"/>
    </xf>
    <xf numFmtId="0" fontId="25" fillId="0" borderId="31" xfId="0" applyFont="1" applyBorder="1" applyAlignment="1">
      <alignment horizontal="center" vertical="center"/>
    </xf>
    <xf numFmtId="167" fontId="0" fillId="0" borderId="4" xfId="0" applyNumberFormat="1" applyBorder="1" applyAlignment="1">
      <alignment horizontal="center"/>
    </xf>
    <xf numFmtId="0" fontId="0" fillId="0" borderId="4" xfId="0" applyBorder="1" applyAlignment="1">
      <alignment horizontal="center"/>
    </xf>
    <xf numFmtId="0" fontId="24" fillId="13" borderId="4" xfId="0" applyFont="1" applyFill="1" applyBorder="1" applyAlignment="1">
      <alignment horizontal="center" vertical="center" wrapText="1"/>
    </xf>
    <xf numFmtId="2" fontId="25" fillId="0" borderId="4" xfId="0" applyNumberFormat="1" applyFont="1" applyBorder="1" applyAlignment="1">
      <alignment horizontal="center" vertical="center" wrapText="1"/>
    </xf>
    <xf numFmtId="0" fontId="25" fillId="0" borderId="4" xfId="0" applyFont="1" applyBorder="1" applyAlignment="1">
      <alignment horizontal="center" vertical="center" wrapText="1"/>
    </xf>
    <xf numFmtId="0" fontId="26" fillId="13" borderId="4" xfId="0" applyFont="1" applyFill="1" applyBorder="1" applyAlignment="1">
      <alignment horizontal="center" vertical="center" wrapText="1"/>
    </xf>
    <xf numFmtId="2" fontId="25" fillId="0" borderId="12" xfId="0" applyNumberFormat="1" applyFont="1" applyBorder="1" applyAlignment="1">
      <alignment horizontal="center" vertical="center" wrapText="1"/>
    </xf>
    <xf numFmtId="0" fontId="25" fillId="0" borderId="27"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1" xfId="0" applyFont="1" applyBorder="1" applyAlignment="1">
      <alignment horizontal="center" vertical="center" wrapText="1"/>
    </xf>
    <xf numFmtId="0" fontId="2" fillId="0" borderId="6" xfId="0" applyFont="1" applyBorder="1" applyAlignment="1">
      <alignment horizontal="center"/>
    </xf>
    <xf numFmtId="2" fontId="0" fillId="0" borderId="4" xfId="0" applyNumberFormat="1" applyBorder="1" applyAlignment="1">
      <alignment horizontal="center"/>
    </xf>
    <xf numFmtId="0" fontId="0" fillId="13" borderId="32" xfId="0" applyFill="1" applyBorder="1" applyAlignment="1">
      <alignment horizontal="center"/>
    </xf>
    <xf numFmtId="0" fontId="0" fillId="13" borderId="33" xfId="0" applyFill="1" applyBorder="1" applyAlignment="1">
      <alignment horizontal="center"/>
    </xf>
    <xf numFmtId="0" fontId="2" fillId="0" borderId="4" xfId="0" applyFont="1" applyBorder="1" applyAlignment="1">
      <alignment horizontal="left" vertical="top" wrapText="1"/>
    </xf>
    <xf numFmtId="10" fontId="0" fillId="0" borderId="12" xfId="1" applyNumberFormat="1" applyFont="1" applyBorder="1" applyAlignment="1">
      <alignment horizontal="center" vertical="center" wrapText="1"/>
    </xf>
    <xf numFmtId="10" fontId="0" fillId="0" borderId="27" xfId="1" applyNumberFormat="1" applyFont="1" applyBorder="1" applyAlignment="1">
      <alignment horizontal="center" vertical="center" wrapText="1"/>
    </xf>
    <xf numFmtId="10" fontId="0" fillId="0" borderId="14" xfId="1" applyNumberFormat="1" applyFont="1" applyBorder="1" applyAlignment="1">
      <alignment horizontal="center" vertical="center" wrapText="1"/>
    </xf>
    <xf numFmtId="10" fontId="0" fillId="0" borderId="31" xfId="1" applyNumberFormat="1" applyFont="1" applyBorder="1" applyAlignment="1">
      <alignment horizontal="center" vertical="center" wrapText="1"/>
    </xf>
    <xf numFmtId="0" fontId="0" fillId="13" borderId="28" xfId="0" applyFill="1" applyBorder="1" applyAlignment="1">
      <alignment horizontal="center"/>
    </xf>
    <xf numFmtId="0" fontId="0" fillId="13" borderId="31" xfId="0" applyFill="1" applyBorder="1" applyAlignment="1">
      <alignment horizontal="center"/>
    </xf>
    <xf numFmtId="0" fontId="2" fillId="0" borderId="4" xfId="0" applyFont="1" applyBorder="1" applyAlignment="1">
      <alignment horizontal="left"/>
    </xf>
    <xf numFmtId="0" fontId="2" fillId="13" borderId="9" xfId="0" applyFont="1" applyFill="1" applyBorder="1" applyAlignment="1">
      <alignment horizontal="center"/>
    </xf>
    <xf numFmtId="0" fontId="2" fillId="13" borderId="0" xfId="0" applyFont="1" applyFill="1" applyAlignment="1">
      <alignment horizontal="center"/>
    </xf>
    <xf numFmtId="0" fontId="2" fillId="13" borderId="14" xfId="0" applyFont="1" applyFill="1" applyBorder="1" applyAlignment="1">
      <alignment horizontal="center"/>
    </xf>
    <xf numFmtId="0" fontId="2" fillId="13" borderId="28" xfId="0" applyFont="1" applyFill="1" applyBorder="1" applyAlignment="1">
      <alignment horizontal="center"/>
    </xf>
    <xf numFmtId="0" fontId="2" fillId="0" borderId="4" xfId="0" applyFont="1" applyBorder="1" applyAlignment="1">
      <alignment horizontal="center"/>
    </xf>
    <xf numFmtId="167" fontId="0" fillId="0" borderId="29" xfId="0" applyNumberFormat="1" applyBorder="1" applyAlignment="1" applyProtection="1">
      <alignment horizontal="center"/>
      <protection locked="0"/>
    </xf>
    <xf numFmtId="0" fontId="2" fillId="0" borderId="30" xfId="0" applyFont="1" applyBorder="1" applyAlignment="1">
      <alignment horizontal="left"/>
    </xf>
    <xf numFmtId="0" fontId="0" fillId="0" borderId="29" xfId="0" applyBorder="1" applyAlignment="1" applyProtection="1">
      <alignment horizontal="center"/>
      <protection locked="0"/>
    </xf>
    <xf numFmtId="0" fontId="2" fillId="13" borderId="25" xfId="0" applyFont="1" applyFill="1" applyBorder="1" applyAlignment="1">
      <alignment horizontal="center"/>
    </xf>
    <xf numFmtId="0" fontId="2" fillId="0" borderId="12"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9" xfId="0" applyFont="1" applyBorder="1" applyAlignment="1" applyProtection="1">
      <alignment horizontal="center"/>
      <protection locked="0"/>
    </xf>
    <xf numFmtId="0" fontId="2" fillId="17" borderId="0" xfId="0" applyFont="1" applyFill="1" applyAlignment="1">
      <alignment horizontal="center" vertical="center" wrapText="1"/>
    </xf>
    <xf numFmtId="0" fontId="2" fillId="17" borderId="0" xfId="0" applyFont="1" applyFill="1" applyAlignment="1">
      <alignment horizontal="center" vertical="center"/>
    </xf>
    <xf numFmtId="0" fontId="2" fillId="0" borderId="0" xfId="0" applyFont="1" applyAlignment="1">
      <alignment horizontal="center"/>
    </xf>
    <xf numFmtId="0" fontId="32" fillId="0" borderId="0" xfId="4" applyFont="1" applyAlignment="1" applyProtection="1">
      <alignment horizontal="center" vertical="center"/>
    </xf>
    <xf numFmtId="0" fontId="29" fillId="0" borderId="4" xfId="0" applyFont="1" applyBorder="1" applyAlignment="1">
      <alignment horizontal="center"/>
    </xf>
    <xf numFmtId="0" fontId="29" fillId="0" borderId="30" xfId="0" applyFont="1" applyBorder="1" applyAlignment="1">
      <alignment horizontal="center"/>
    </xf>
    <xf numFmtId="0" fontId="29" fillId="0" borderId="32" xfId="0" applyFont="1" applyBorder="1" applyAlignment="1">
      <alignment horizontal="center"/>
    </xf>
    <xf numFmtId="0" fontId="29" fillId="0" borderId="33" xfId="0" applyFont="1" applyBorder="1" applyAlignment="1">
      <alignment horizontal="center"/>
    </xf>
    <xf numFmtId="46" fontId="8" fillId="17" borderId="4" xfId="0" applyNumberFormat="1" applyFont="1" applyFill="1" applyBorder="1" applyAlignment="1">
      <alignment horizontal="center"/>
    </xf>
    <xf numFmtId="0" fontId="11" fillId="0" borderId="26" xfId="0" applyFont="1" applyBorder="1" applyAlignment="1">
      <alignment horizontal="center"/>
    </xf>
    <xf numFmtId="0" fontId="2" fillId="0" borderId="0" xfId="0" applyFont="1" applyAlignment="1">
      <alignment horizontal="center" vertical="center"/>
    </xf>
    <xf numFmtId="10" fontId="0" fillId="0" borderId="0" xfId="1" applyNumberFormat="1" applyFont="1" applyBorder="1" applyAlignment="1">
      <alignment horizontal="center"/>
    </xf>
    <xf numFmtId="10" fontId="2" fillId="17" borderId="4" xfId="1" applyNumberFormat="1" applyFont="1" applyFill="1" applyBorder="1" applyAlignment="1">
      <alignment horizontal="center" vertical="center"/>
    </xf>
    <xf numFmtId="0" fontId="29" fillId="0" borderId="9" xfId="0" applyFont="1" applyBorder="1" applyAlignment="1">
      <alignment horizontal="center"/>
    </xf>
    <xf numFmtId="0" fontId="29" fillId="0" borderId="0" xfId="0" applyFont="1" applyAlignment="1">
      <alignment horizontal="center"/>
    </xf>
    <xf numFmtId="46" fontId="8" fillId="19" borderId="4" xfId="0" applyNumberFormat="1" applyFont="1" applyFill="1" applyBorder="1" applyAlignment="1" applyProtection="1">
      <alignment horizontal="center"/>
      <protection locked="0"/>
    </xf>
    <xf numFmtId="0" fontId="29" fillId="17" borderId="4" xfId="0" applyFont="1" applyFill="1" applyBorder="1" applyAlignment="1">
      <alignment horizontal="center" vertical="center"/>
    </xf>
    <xf numFmtId="0" fontId="30" fillId="13" borderId="4" xfId="0" applyFont="1" applyFill="1" applyBorder="1" applyAlignment="1">
      <alignment horizontal="center" vertical="center"/>
    </xf>
    <xf numFmtId="167" fontId="0" fillId="0" borderId="32" xfId="0" applyNumberFormat="1" applyBorder="1" applyAlignment="1">
      <alignment horizontal="center"/>
    </xf>
    <xf numFmtId="167" fontId="0" fillId="0" borderId="33" xfId="0" applyNumberFormat="1" applyBorder="1" applyAlignment="1">
      <alignment horizontal="center"/>
    </xf>
    <xf numFmtId="0" fontId="30" fillId="13" borderId="4" xfId="0" applyFont="1" applyFill="1" applyBorder="1" applyAlignment="1">
      <alignment horizontal="center" vertical="center" wrapText="1"/>
    </xf>
    <xf numFmtId="0" fontId="11" fillId="0" borderId="45" xfId="0" applyFont="1" applyBorder="1" applyAlignment="1">
      <alignment horizontal="center"/>
    </xf>
    <xf numFmtId="167" fontId="0" fillId="0" borderId="40" xfId="0" applyNumberFormat="1" applyBorder="1" applyAlignment="1">
      <alignment horizontal="center"/>
    </xf>
    <xf numFmtId="167" fontId="8" fillId="0" borderId="43" xfId="0" applyNumberFormat="1" applyFont="1" applyBorder="1" applyAlignment="1">
      <alignment horizontal="center"/>
    </xf>
    <xf numFmtId="167" fontId="8" fillId="0" borderId="44" xfId="0" applyNumberFormat="1" applyFont="1" applyBorder="1" applyAlignment="1">
      <alignment horizontal="center"/>
    </xf>
    <xf numFmtId="167" fontId="8" fillId="0" borderId="39" xfId="0" applyNumberFormat="1" applyFont="1" applyBorder="1" applyAlignment="1">
      <alignment horizontal="center"/>
    </xf>
    <xf numFmtId="2" fontId="0" fillId="0" borderId="40" xfId="0" applyNumberFormat="1" applyBorder="1" applyAlignment="1">
      <alignment horizontal="center"/>
    </xf>
    <xf numFmtId="1" fontId="0" fillId="0" borderId="40" xfId="0" applyNumberFormat="1" applyBorder="1" applyAlignment="1">
      <alignment horizontal="center"/>
    </xf>
    <xf numFmtId="2" fontId="8" fillId="0" borderId="43" xfId="0" applyNumberFormat="1" applyFont="1" applyBorder="1" applyAlignment="1">
      <alignment horizontal="center"/>
    </xf>
    <xf numFmtId="2" fontId="8" fillId="0" borderId="44" xfId="0" applyNumberFormat="1" applyFont="1" applyBorder="1" applyAlignment="1">
      <alignment horizontal="center"/>
    </xf>
    <xf numFmtId="2" fontId="8" fillId="0" borderId="39" xfId="0" applyNumberFormat="1" applyFont="1" applyBorder="1" applyAlignment="1">
      <alignment horizontal="center"/>
    </xf>
    <xf numFmtId="1" fontId="8" fillId="0" borderId="43" xfId="0" applyNumberFormat="1" applyFont="1" applyBorder="1" applyAlignment="1">
      <alignment horizontal="center"/>
    </xf>
    <xf numFmtId="1" fontId="8" fillId="0" borderId="44" xfId="0" applyNumberFormat="1" applyFont="1" applyBorder="1" applyAlignment="1">
      <alignment horizontal="center"/>
    </xf>
    <xf numFmtId="1" fontId="8" fillId="0" borderId="39" xfId="0" applyNumberFormat="1" applyFont="1" applyBorder="1" applyAlignment="1">
      <alignment horizontal="center"/>
    </xf>
    <xf numFmtId="46" fontId="8" fillId="17" borderId="40" xfId="0" applyNumberFormat="1" applyFont="1" applyFill="1" applyBorder="1" applyAlignment="1">
      <alignment horizontal="center"/>
    </xf>
    <xf numFmtId="46" fontId="8" fillId="17" borderId="43" xfId="0" applyNumberFormat="1" applyFont="1" applyFill="1" applyBorder="1" applyAlignment="1">
      <alignment horizontal="center"/>
    </xf>
    <xf numFmtId="46" fontId="8" fillId="17" borderId="44" xfId="0" applyNumberFormat="1" applyFont="1" applyFill="1" applyBorder="1" applyAlignment="1">
      <alignment horizontal="center"/>
    </xf>
    <xf numFmtId="46" fontId="8" fillId="17" borderId="39" xfId="0" applyNumberFormat="1" applyFont="1" applyFill="1" applyBorder="1" applyAlignment="1">
      <alignment horizontal="center"/>
    </xf>
    <xf numFmtId="10" fontId="29" fillId="0" borderId="40" xfId="1" applyNumberFormat="1" applyFont="1" applyBorder="1" applyAlignment="1">
      <alignment horizontal="center"/>
    </xf>
    <xf numFmtId="10" fontId="29" fillId="0" borderId="43" xfId="1" applyNumberFormat="1" applyFont="1" applyBorder="1" applyAlignment="1">
      <alignment horizontal="center"/>
    </xf>
    <xf numFmtId="10" fontId="29" fillId="0" borderId="44" xfId="1" applyNumberFormat="1" applyFont="1" applyBorder="1" applyAlignment="1">
      <alignment horizontal="center"/>
    </xf>
    <xf numFmtId="10" fontId="29" fillId="0" borderId="39" xfId="1" applyNumberFormat="1" applyFont="1" applyBorder="1" applyAlignment="1">
      <alignment horizontal="center"/>
    </xf>
    <xf numFmtId="0" fontId="0" fillId="0" borderId="40" xfId="0" applyBorder="1" applyAlignment="1">
      <alignment horizontal="center"/>
    </xf>
    <xf numFmtId="0" fontId="0" fillId="0" borderId="43" xfId="0" applyBorder="1" applyAlignment="1">
      <alignment horizontal="center"/>
    </xf>
    <xf numFmtId="0" fontId="0" fillId="0" borderId="44" xfId="0" applyBorder="1" applyAlignment="1">
      <alignment horizontal="center"/>
    </xf>
    <xf numFmtId="0" fontId="0" fillId="0" borderId="39" xfId="0" applyBorder="1" applyAlignment="1">
      <alignment horizontal="center"/>
    </xf>
    <xf numFmtId="46" fontId="8" fillId="17" borderId="41" xfId="0" applyNumberFormat="1" applyFont="1" applyFill="1" applyBorder="1" applyAlignment="1">
      <alignment horizontal="center"/>
    </xf>
    <xf numFmtId="46" fontId="8" fillId="17" borderId="42" xfId="0" applyNumberFormat="1" applyFont="1" applyFill="1" applyBorder="1" applyAlignment="1">
      <alignment horizontal="center"/>
    </xf>
    <xf numFmtId="46" fontId="8" fillId="17" borderId="36" xfId="0" applyNumberFormat="1" applyFont="1" applyFill="1" applyBorder="1" applyAlignment="1">
      <alignment horizontal="center"/>
    </xf>
    <xf numFmtId="46" fontId="8" fillId="17" borderId="38" xfId="0" applyNumberFormat="1" applyFont="1" applyFill="1" applyBorder="1" applyAlignment="1">
      <alignment horizontal="center"/>
    </xf>
    <xf numFmtId="0" fontId="29" fillId="18" borderId="4" xfId="0" applyFont="1" applyFill="1" applyBorder="1" applyAlignment="1">
      <alignment horizontal="center" vertical="center"/>
    </xf>
    <xf numFmtId="0" fontId="29" fillId="18" borderId="4" xfId="0" applyFont="1" applyFill="1" applyBorder="1" applyAlignment="1">
      <alignment horizontal="center" vertical="center" wrapText="1"/>
    </xf>
    <xf numFmtId="0" fontId="29" fillId="18" borderId="34" xfId="0" applyFont="1" applyFill="1" applyBorder="1" applyAlignment="1">
      <alignment horizontal="center"/>
    </xf>
    <xf numFmtId="0" fontId="29" fillId="18" borderId="35" xfId="0" applyFont="1" applyFill="1" applyBorder="1" applyAlignment="1">
      <alignment horizontal="center"/>
    </xf>
    <xf numFmtId="0" fontId="27" fillId="17" borderId="30" xfId="0" applyFont="1" applyFill="1" applyBorder="1" applyAlignment="1">
      <alignment horizontal="center" vertical="center"/>
    </xf>
    <xf numFmtId="0" fontId="27" fillId="17" borderId="32" xfId="0" applyFont="1" applyFill="1" applyBorder="1" applyAlignment="1">
      <alignment horizontal="center" vertical="center"/>
    </xf>
    <xf numFmtId="0" fontId="27" fillId="17" borderId="33" xfId="0" applyFont="1" applyFill="1" applyBorder="1" applyAlignment="1">
      <alignment horizontal="center" vertical="center"/>
    </xf>
    <xf numFmtId="0" fontId="2" fillId="18" borderId="4" xfId="0" applyFont="1" applyFill="1" applyBorder="1" applyAlignment="1">
      <alignment horizontal="center" vertical="center"/>
    </xf>
    <xf numFmtId="0" fontId="2" fillId="18" borderId="6" xfId="0" applyFont="1" applyFill="1" applyBorder="1" applyAlignment="1">
      <alignment horizontal="center" vertical="center"/>
    </xf>
    <xf numFmtId="0" fontId="29" fillId="18" borderId="30" xfId="0" applyFont="1" applyFill="1" applyBorder="1" applyAlignment="1">
      <alignment horizontal="center"/>
    </xf>
    <xf numFmtId="0" fontId="29" fillId="18" borderId="32" xfId="0" applyFont="1" applyFill="1" applyBorder="1" applyAlignment="1">
      <alignment horizontal="center"/>
    </xf>
    <xf numFmtId="0" fontId="29" fillId="18" borderId="33" xfId="0" applyFont="1" applyFill="1" applyBorder="1" applyAlignment="1">
      <alignment horizontal="center"/>
    </xf>
    <xf numFmtId="0" fontId="29" fillId="18" borderId="6" xfId="0" applyFont="1" applyFill="1" applyBorder="1" applyAlignment="1">
      <alignment horizontal="center" vertical="center" wrapText="1"/>
    </xf>
    <xf numFmtId="0" fontId="29" fillId="18" borderId="11" xfId="0" applyFont="1" applyFill="1" applyBorder="1" applyAlignment="1">
      <alignment horizontal="center" vertical="center" wrapText="1"/>
    </xf>
    <xf numFmtId="0" fontId="0" fillId="16" borderId="4" xfId="0" applyFill="1" applyBorder="1" applyAlignment="1">
      <alignment horizontal="center"/>
    </xf>
    <xf numFmtId="0" fontId="0" fillId="15" borderId="4" xfId="0" applyFill="1" applyBorder="1" applyAlignment="1">
      <alignment horizontal="center"/>
    </xf>
    <xf numFmtId="0" fontId="0" fillId="15" borderId="30" xfId="0" applyFill="1" applyBorder="1" applyAlignment="1">
      <alignment horizontal="center"/>
    </xf>
    <xf numFmtId="0" fontId="0" fillId="15" borderId="32" xfId="0" applyFill="1" applyBorder="1" applyAlignment="1">
      <alignment horizontal="center"/>
    </xf>
    <xf numFmtId="0" fontId="0" fillId="15" borderId="33" xfId="0" applyFill="1" applyBorder="1" applyAlignment="1">
      <alignment horizontal="center"/>
    </xf>
    <xf numFmtId="0" fontId="39" fillId="21" borderId="0" xfId="6" applyFont="1" applyFill="1" applyAlignment="1">
      <alignment horizontal="center"/>
    </xf>
    <xf numFmtId="0" fontId="39" fillId="0" borderId="0" xfId="6" applyFont="1" applyAlignment="1">
      <alignment horizontal="left"/>
    </xf>
    <xf numFmtId="0" fontId="46" fillId="0" borderId="30" xfId="0" applyFont="1" applyBorder="1" applyAlignment="1">
      <alignment horizontal="center"/>
    </xf>
    <xf numFmtId="0" fontId="46" fillId="0" borderId="33" xfId="0" applyFont="1" applyBorder="1" applyAlignment="1">
      <alignment horizontal="center"/>
    </xf>
    <xf numFmtId="0" fontId="46" fillId="0" borderId="4" xfId="0" applyFont="1" applyBorder="1" applyAlignment="1">
      <alignment horizontal="right"/>
    </xf>
    <xf numFmtId="0" fontId="46" fillId="0" borderId="4" xfId="0" applyFont="1" applyBorder="1" applyAlignment="1">
      <alignment horizontal="center" vertical="center"/>
    </xf>
    <xf numFmtId="0" fontId="47" fillId="0" borderId="4" xfId="0" applyFont="1" applyBorder="1" applyAlignment="1">
      <alignment horizontal="center" vertical="center"/>
    </xf>
    <xf numFmtId="0" fontId="46" fillId="0" borderId="12" xfId="0" applyFont="1" applyBorder="1" applyAlignment="1">
      <alignment horizontal="left" vertical="top" wrapText="1"/>
    </xf>
    <xf numFmtId="0" fontId="46" fillId="0" borderId="14" xfId="0" applyFont="1" applyBorder="1" applyAlignment="1">
      <alignment horizontal="left" vertical="top" wrapText="1"/>
    </xf>
    <xf numFmtId="0" fontId="46" fillId="0" borderId="26" xfId="0" applyFont="1" applyBorder="1" applyAlignment="1">
      <alignment horizontal="left" vertical="top" wrapText="1"/>
    </xf>
    <xf numFmtId="0" fontId="46" fillId="0" borderId="28" xfId="0" applyFont="1" applyBorder="1" applyAlignment="1">
      <alignment horizontal="left" vertical="top" wrapText="1"/>
    </xf>
    <xf numFmtId="0" fontId="46" fillId="0" borderId="4" xfId="0" applyFont="1" applyBorder="1" applyAlignment="1">
      <alignment horizontal="left" wrapText="1"/>
    </xf>
    <xf numFmtId="0" fontId="46" fillId="0" borderId="4" xfId="0" applyFont="1" applyBorder="1" applyAlignment="1">
      <alignment horizontal="center"/>
    </xf>
    <xf numFmtId="0" fontId="46" fillId="0" borderId="4" xfId="0" applyFont="1" applyBorder="1" applyAlignment="1">
      <alignment horizontal="left"/>
    </xf>
    <xf numFmtId="0" fontId="46" fillId="0" borderId="4" xfId="0" applyFont="1" applyBorder="1" applyAlignment="1">
      <alignment horizontal="left" vertical="top"/>
    </xf>
    <xf numFmtId="0" fontId="45" fillId="0" borderId="4" xfId="0" applyFont="1" applyBorder="1" applyAlignment="1">
      <alignment horizontal="center" vertical="center"/>
    </xf>
    <xf numFmtId="0" fontId="46" fillId="0" borderId="12" xfId="0" applyFont="1" applyBorder="1" applyAlignment="1">
      <alignment horizontal="left" vertical="center"/>
    </xf>
    <xf numFmtId="0" fontId="46" fillId="0" borderId="26" xfId="0" applyFont="1" applyBorder="1" applyAlignment="1">
      <alignment horizontal="left" vertical="center"/>
    </xf>
    <xf numFmtId="0" fontId="46" fillId="0" borderId="14" xfId="0" applyFont="1" applyBorder="1" applyAlignment="1">
      <alignment horizontal="left" vertical="center"/>
    </xf>
    <xf numFmtId="0" fontId="46" fillId="0" borderId="28" xfId="0" applyFont="1" applyBorder="1" applyAlignment="1">
      <alignment horizontal="left" vertical="center"/>
    </xf>
    <xf numFmtId="0" fontId="46" fillId="0" borderId="12" xfId="0" applyFont="1" applyBorder="1" applyAlignment="1">
      <alignment horizontal="left" vertical="center" wrapText="1"/>
    </xf>
    <xf numFmtId="0" fontId="46" fillId="0" borderId="26" xfId="0" applyFont="1" applyBorder="1" applyAlignment="1">
      <alignment horizontal="left" vertical="center" wrapText="1"/>
    </xf>
    <xf numFmtId="0" fontId="46" fillId="0" borderId="27" xfId="0" applyFont="1" applyBorder="1" applyAlignment="1">
      <alignment horizontal="left" vertical="center" wrapText="1"/>
    </xf>
    <xf numFmtId="0" fontId="46" fillId="0" borderId="9" xfId="0" applyFont="1" applyBorder="1" applyAlignment="1">
      <alignment horizontal="left" vertical="center" wrapText="1"/>
    </xf>
    <xf numFmtId="0" fontId="46" fillId="0" borderId="0" xfId="0" applyFont="1" applyAlignment="1">
      <alignment horizontal="left" vertical="center" wrapText="1"/>
    </xf>
    <xf numFmtId="0" fontId="46" fillId="0" borderId="25" xfId="0" applyFont="1" applyBorder="1" applyAlignment="1">
      <alignment horizontal="left" vertical="center" wrapText="1"/>
    </xf>
    <xf numFmtId="0" fontId="46" fillId="0" borderId="14" xfId="0" applyFont="1" applyBorder="1" applyAlignment="1">
      <alignment horizontal="left" vertical="center" wrapText="1"/>
    </xf>
    <xf numFmtId="0" fontId="46" fillId="0" borderId="28" xfId="0" applyFont="1" applyBorder="1" applyAlignment="1">
      <alignment horizontal="left" vertical="center" wrapText="1"/>
    </xf>
    <xf numFmtId="0" fontId="46" fillId="0" borderId="31" xfId="0" applyFont="1" applyBorder="1" applyAlignment="1">
      <alignment horizontal="left" vertical="center" wrapText="1"/>
    </xf>
    <xf numFmtId="0" fontId="46" fillId="0" borderId="14" xfId="0" applyFont="1" applyBorder="1" applyAlignment="1">
      <alignment horizontal="left"/>
    </xf>
    <xf numFmtId="0" fontId="46" fillId="0" borderId="28" xfId="0" applyFont="1" applyBorder="1" applyAlignment="1">
      <alignment horizontal="left"/>
    </xf>
    <xf numFmtId="0" fontId="46" fillId="0" borderId="12" xfId="0" applyFont="1" applyBorder="1" applyAlignment="1">
      <alignment horizontal="left" vertical="top"/>
    </xf>
    <xf numFmtId="0" fontId="46" fillId="0" borderId="9" xfId="0" applyFont="1" applyBorder="1" applyAlignment="1">
      <alignment horizontal="left" vertical="top"/>
    </xf>
    <xf numFmtId="0" fontId="46" fillId="0" borderId="14" xfId="0" applyFont="1" applyBorder="1" applyAlignment="1">
      <alignment horizontal="left" vertical="top"/>
    </xf>
    <xf numFmtId="0" fontId="46" fillId="0" borderId="26" xfId="0" applyFont="1" applyBorder="1" applyAlignment="1">
      <alignment horizontal="left" vertical="top"/>
    </xf>
    <xf numFmtId="0" fontId="46" fillId="0" borderId="0" xfId="0" applyFont="1" applyAlignment="1">
      <alignment horizontal="left" vertical="top"/>
    </xf>
    <xf numFmtId="0" fontId="46" fillId="0" borderId="28" xfId="0" applyFont="1" applyBorder="1" applyAlignment="1">
      <alignment horizontal="left" vertical="top"/>
    </xf>
    <xf numFmtId="0" fontId="5" fillId="0" borderId="12" xfId="6" applyBorder="1" applyAlignment="1">
      <alignment horizontal="center"/>
    </xf>
    <xf numFmtId="0" fontId="5" fillId="0" borderId="26" xfId="6" applyBorder="1" applyAlignment="1">
      <alignment horizontal="center"/>
    </xf>
    <xf numFmtId="0" fontId="5" fillId="0" borderId="32" xfId="6" applyBorder="1" applyAlignment="1">
      <alignment horizontal="center"/>
    </xf>
    <xf numFmtId="0" fontId="5" fillId="0" borderId="33" xfId="6" applyBorder="1" applyAlignment="1">
      <alignment horizontal="center"/>
    </xf>
    <xf numFmtId="0" fontId="5" fillId="0" borderId="30" xfId="6" applyBorder="1" applyAlignment="1">
      <alignment horizontal="center"/>
    </xf>
    <xf numFmtId="0" fontId="5" fillId="0" borderId="28" xfId="6" applyBorder="1" applyAlignment="1">
      <alignment horizontal="center"/>
    </xf>
    <xf numFmtId="0" fontId="5" fillId="0" borderId="31" xfId="6" applyBorder="1" applyAlignment="1">
      <alignment horizontal="center"/>
    </xf>
    <xf numFmtId="0" fontId="5" fillId="0" borderId="14" xfId="6" applyBorder="1" applyAlignment="1">
      <alignment horizontal="center"/>
    </xf>
    <xf numFmtId="0" fontId="5" fillId="0" borderId="61" xfId="6" applyBorder="1" applyAlignment="1">
      <alignment horizontal="center"/>
    </xf>
    <xf numFmtId="0" fontId="49" fillId="0" borderId="30" xfId="6" applyFont="1" applyBorder="1" applyAlignment="1">
      <alignment horizontal="center"/>
    </xf>
    <xf numFmtId="0" fontId="49" fillId="0" borderId="32" xfId="6" applyFont="1" applyBorder="1" applyAlignment="1">
      <alignment horizontal="center"/>
    </xf>
    <xf numFmtId="0" fontId="49" fillId="0" borderId="33" xfId="6" applyFont="1" applyBorder="1" applyAlignment="1">
      <alignment horizontal="center"/>
    </xf>
    <xf numFmtId="0" fontId="5" fillId="0" borderId="27" xfId="6" applyBorder="1" applyAlignment="1">
      <alignment horizontal="center"/>
    </xf>
    <xf numFmtId="0" fontId="5" fillId="0" borderId="9" xfId="6" applyBorder="1" applyAlignment="1">
      <alignment horizontal="center"/>
    </xf>
    <xf numFmtId="0" fontId="5" fillId="0" borderId="0" xfId="6" applyAlignment="1">
      <alignment horizontal="center"/>
    </xf>
    <xf numFmtId="0" fontId="5" fillId="0" borderId="25" xfId="6" applyBorder="1" applyAlignment="1">
      <alignment horizontal="center"/>
    </xf>
    <xf numFmtId="0" fontId="49" fillId="0" borderId="9" xfId="6" applyFont="1" applyBorder="1" applyAlignment="1">
      <alignment horizontal="center"/>
    </xf>
    <xf numFmtId="0" fontId="49" fillId="0" borderId="0" xfId="6" applyFont="1" applyAlignment="1">
      <alignment horizontal="center"/>
    </xf>
    <xf numFmtId="0" fontId="49" fillId="0" borderId="25" xfId="6" applyFont="1" applyBorder="1" applyAlignment="1">
      <alignment horizontal="center"/>
    </xf>
    <xf numFmtId="0" fontId="5" fillId="0" borderId="30" xfId="6" applyBorder="1" applyAlignment="1">
      <alignment horizontal="left"/>
    </xf>
    <xf numFmtId="0" fontId="5" fillId="0" borderId="32" xfId="6" applyBorder="1" applyAlignment="1">
      <alignment horizontal="left"/>
    </xf>
    <xf numFmtId="0" fontId="5" fillId="0" borderId="12" xfId="6" applyBorder="1" applyAlignment="1">
      <alignment horizontal="left"/>
    </xf>
    <xf numFmtId="0" fontId="5" fillId="0" borderId="26" xfId="6" applyBorder="1" applyAlignment="1">
      <alignment horizontal="left"/>
    </xf>
    <xf numFmtId="0" fontId="48" fillId="0" borderId="30" xfId="6" applyFont="1" applyBorder="1" applyAlignment="1">
      <alignment horizontal="left"/>
    </xf>
    <xf numFmtId="0" fontId="48" fillId="0" borderId="32" xfId="6" applyFont="1" applyBorder="1" applyAlignment="1">
      <alignment horizontal="left"/>
    </xf>
    <xf numFmtId="0" fontId="48" fillId="0" borderId="33" xfId="6" applyFont="1" applyBorder="1" applyAlignment="1">
      <alignment horizontal="left"/>
    </xf>
    <xf numFmtId="0" fontId="52" fillId="0" borderId="0" xfId="0" applyFont="1" applyAlignment="1">
      <alignment horizontal="center"/>
    </xf>
    <xf numFmtId="0" fontId="0" fillId="0" borderId="0" xfId="0" applyAlignment="1">
      <alignment horizontal="center"/>
    </xf>
    <xf numFmtId="0" fontId="56" fillId="0" borderId="0" xfId="0" applyFont="1" applyAlignment="1">
      <alignment horizontal="center" vertical="center"/>
    </xf>
    <xf numFmtId="0" fontId="54" fillId="0" borderId="0" xfId="0" applyFont="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72" xfId="0" applyFont="1" applyBorder="1" applyAlignment="1">
      <alignment horizontal="center" vertical="center"/>
    </xf>
    <xf numFmtId="0" fontId="2" fillId="24" borderId="70" xfId="0" applyFont="1" applyFill="1" applyBorder="1" applyAlignment="1">
      <alignment horizontal="center" vertical="center"/>
    </xf>
    <xf numFmtId="0" fontId="2" fillId="24" borderId="71" xfId="0" applyFont="1" applyFill="1" applyBorder="1" applyAlignment="1">
      <alignment horizontal="center" vertical="center"/>
    </xf>
    <xf numFmtId="0" fontId="2" fillId="24" borderId="75" xfId="0" applyFont="1" applyFill="1" applyBorder="1" applyAlignment="1">
      <alignment horizontal="center" vertical="center"/>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57" fillId="0" borderId="56" xfId="6" applyFont="1" applyBorder="1" applyAlignment="1">
      <alignment horizontal="center" vertical="center"/>
    </xf>
    <xf numFmtId="0" fontId="57" fillId="0" borderId="93" xfId="6" applyFont="1" applyBorder="1" applyAlignment="1">
      <alignment horizontal="center" vertical="center"/>
    </xf>
    <xf numFmtId="0" fontId="57" fillId="0" borderId="102" xfId="6" applyFont="1" applyBorder="1" applyAlignment="1">
      <alignment horizontal="center"/>
    </xf>
    <xf numFmtId="0" fontId="57" fillId="0" borderId="100" xfId="6" applyFont="1" applyBorder="1" applyAlignment="1">
      <alignment horizontal="center"/>
    </xf>
    <xf numFmtId="2" fontId="57" fillId="0" borderId="56" xfId="6" applyNumberFormat="1" applyFont="1" applyBorder="1" applyAlignment="1">
      <alignment horizontal="center"/>
    </xf>
    <xf numFmtId="0" fontId="57" fillId="0" borderId="103" xfId="6" applyFont="1" applyBorder="1" applyAlignment="1">
      <alignment horizontal="center"/>
    </xf>
    <xf numFmtId="169" fontId="58" fillId="0" borderId="65" xfId="9" applyNumberFormat="1" applyFont="1" applyBorder="1" applyAlignment="1">
      <alignment horizontal="center" vertical="center"/>
    </xf>
    <xf numFmtId="169" fontId="58" fillId="0" borderId="67" xfId="9" applyNumberFormat="1" applyFont="1" applyBorder="1" applyAlignment="1">
      <alignment horizontal="center" vertical="center"/>
    </xf>
    <xf numFmtId="169" fontId="58" fillId="0" borderId="80" xfId="9" applyNumberFormat="1" applyFont="1" applyBorder="1" applyAlignment="1">
      <alignment horizontal="center" vertical="center"/>
    </xf>
    <xf numFmtId="0" fontId="57" fillId="0" borderId="63" xfId="6" applyFont="1" applyBorder="1" applyAlignment="1">
      <alignment horizontal="center" vertical="center"/>
    </xf>
    <xf numFmtId="0" fontId="57" fillId="0" borderId="94" xfId="6" applyFont="1" applyBorder="1" applyAlignment="1">
      <alignment horizontal="center" vertical="center"/>
    </xf>
    <xf numFmtId="0" fontId="58" fillId="0" borderId="65" xfId="6" applyFont="1" applyBorder="1" applyAlignment="1">
      <alignment horizontal="center" vertical="center"/>
    </xf>
    <xf numFmtId="0" fontId="58" fillId="0" borderId="67" xfId="6" applyFont="1" applyBorder="1" applyAlignment="1">
      <alignment horizontal="center" vertical="center"/>
    </xf>
    <xf numFmtId="0" fontId="58" fillId="0" borderId="80" xfId="6" applyFont="1" applyBorder="1" applyAlignment="1">
      <alignment horizontal="center" vertical="center"/>
    </xf>
    <xf numFmtId="0" fontId="58" fillId="0" borderId="65" xfId="6" applyFont="1" applyBorder="1" applyAlignment="1">
      <alignment horizontal="center" vertical="center" wrapText="1"/>
    </xf>
    <xf numFmtId="0" fontId="58" fillId="0" borderId="100" xfId="6" applyFont="1" applyBorder="1" applyAlignment="1">
      <alignment horizontal="center" vertical="center" wrapText="1"/>
    </xf>
    <xf numFmtId="0" fontId="58" fillId="0" borderId="102" xfId="6" applyFont="1" applyBorder="1" applyAlignment="1">
      <alignment horizontal="center" vertical="center" wrapText="1"/>
    </xf>
    <xf numFmtId="0" fontId="58" fillId="29" borderId="102" xfId="6" applyFont="1" applyFill="1" applyBorder="1" applyAlignment="1">
      <alignment horizontal="center" vertical="center" wrapText="1"/>
    </xf>
    <xf numFmtId="0" fontId="58" fillId="29" borderId="67" xfId="6" applyFont="1" applyFill="1" applyBorder="1" applyAlignment="1">
      <alignment horizontal="center" vertical="center" wrapText="1"/>
    </xf>
    <xf numFmtId="0" fontId="58" fillId="29" borderId="80" xfId="6" applyFont="1" applyFill="1" applyBorder="1" applyAlignment="1">
      <alignment horizontal="center" vertical="center" wrapText="1"/>
    </xf>
    <xf numFmtId="0" fontId="57" fillId="0" borderId="95" xfId="6" applyFont="1" applyBorder="1" applyAlignment="1">
      <alignment horizontal="center" vertical="center"/>
    </xf>
    <xf numFmtId="0" fontId="58" fillId="26" borderId="65" xfId="6" applyFont="1" applyFill="1" applyBorder="1" applyAlignment="1">
      <alignment horizontal="center" vertical="center"/>
    </xf>
    <xf numFmtId="0" fontId="58" fillId="26" borderId="80" xfId="6" applyFont="1" applyFill="1" applyBorder="1" applyAlignment="1">
      <alignment horizontal="center" vertical="center"/>
    </xf>
    <xf numFmtId="0" fontId="58" fillId="26" borderId="67" xfId="6" applyFont="1" applyFill="1" applyBorder="1" applyAlignment="1">
      <alignment horizontal="center" vertical="center"/>
    </xf>
    <xf numFmtId="0" fontId="57" fillId="0" borderId="65" xfId="6" applyFont="1" applyBorder="1" applyAlignment="1">
      <alignment horizontal="center"/>
    </xf>
    <xf numFmtId="0" fontId="57" fillId="0" borderId="67" xfId="6" applyFont="1" applyBorder="1" applyAlignment="1">
      <alignment horizontal="center"/>
    </xf>
    <xf numFmtId="0" fontId="57" fillId="0" borderId="80" xfId="6" applyFont="1" applyBorder="1" applyAlignment="1">
      <alignment horizontal="center"/>
    </xf>
    <xf numFmtId="0" fontId="58" fillId="25" borderId="65" xfId="6" applyFont="1" applyFill="1" applyBorder="1" applyAlignment="1">
      <alignment horizontal="center" vertical="center"/>
    </xf>
    <xf numFmtId="0" fontId="58" fillId="25" borderId="80" xfId="6" applyFont="1" applyFill="1" applyBorder="1" applyAlignment="1">
      <alignment horizontal="center" vertical="center"/>
    </xf>
    <xf numFmtId="164" fontId="58" fillId="0" borderId="83" xfId="8" applyFont="1" applyFill="1" applyBorder="1" applyAlignment="1">
      <alignment horizontal="center" vertical="center"/>
    </xf>
    <xf numFmtId="164" fontId="58" fillId="0" borderId="86" xfId="8" applyFont="1" applyFill="1" applyBorder="1" applyAlignment="1">
      <alignment horizontal="center" vertical="center"/>
    </xf>
    <xf numFmtId="164" fontId="58" fillId="0" borderId="5" xfId="8" applyFont="1" applyFill="1" applyBorder="1" applyAlignment="1">
      <alignment horizontal="center" vertical="center"/>
    </xf>
    <xf numFmtId="0" fontId="57" fillId="0" borderId="81" xfId="6" applyFont="1" applyBorder="1" applyAlignment="1">
      <alignment horizontal="center"/>
    </xf>
    <xf numFmtId="0" fontId="57" fillId="0" borderId="82" xfId="6" applyFont="1" applyBorder="1" applyAlignment="1">
      <alignment horizontal="center"/>
    </xf>
    <xf numFmtId="0" fontId="57" fillId="0" borderId="84" xfId="6" applyFont="1" applyBorder="1" applyAlignment="1">
      <alignment horizontal="center"/>
    </xf>
    <xf numFmtId="0" fontId="57" fillId="0" borderId="85" xfId="6" applyFont="1" applyBorder="1" applyAlignment="1">
      <alignment horizontal="center"/>
    </xf>
    <xf numFmtId="0" fontId="57" fillId="0" borderId="0" xfId="6" applyFont="1" applyAlignment="1">
      <alignment horizontal="center"/>
    </xf>
    <xf numFmtId="0" fontId="57" fillId="0" borderId="87" xfId="6" applyFont="1" applyBorder="1" applyAlignment="1">
      <alignment horizontal="center"/>
    </xf>
    <xf numFmtId="0" fontId="57" fillId="0" borderId="88" xfId="6" applyFont="1" applyBorder="1" applyAlignment="1">
      <alignment horizontal="center"/>
    </xf>
    <xf numFmtId="0" fontId="57" fillId="0" borderId="89" xfId="6" applyFont="1" applyBorder="1" applyAlignment="1">
      <alignment horizontal="center"/>
    </xf>
    <xf numFmtId="0" fontId="57" fillId="0" borderId="90" xfId="6" applyFont="1" applyBorder="1" applyAlignment="1">
      <alignment horizontal="center"/>
    </xf>
    <xf numFmtId="0" fontId="0" fillId="26" borderId="4" xfId="0" applyFill="1" applyBorder="1" applyAlignment="1">
      <alignment horizontal="center" vertical="center"/>
    </xf>
    <xf numFmtId="0" fontId="0" fillId="26" borderId="4" xfId="0" applyFill="1" applyBorder="1" applyAlignment="1">
      <alignment horizontal="left"/>
    </xf>
    <xf numFmtId="0" fontId="59" fillId="0" borderId="0" xfId="0" applyFont="1" applyAlignment="1">
      <alignment horizontal="center" vertical="center"/>
    </xf>
    <xf numFmtId="0" fontId="68" fillId="0" borderId="0" xfId="0" applyFont="1" applyAlignment="1">
      <alignment horizontal="center" vertical="center"/>
    </xf>
    <xf numFmtId="0" fontId="2" fillId="14" borderId="28" xfId="0" applyFont="1" applyFill="1" applyBorder="1" applyAlignment="1">
      <alignment horizontal="center" vertical="center"/>
    </xf>
    <xf numFmtId="0" fontId="52" fillId="0" borderId="4" xfId="0" applyFont="1" applyBorder="1" applyAlignment="1">
      <alignment horizontal="center" vertical="center"/>
    </xf>
    <xf numFmtId="0" fontId="0" fillId="0" borderId="28" xfId="0" applyBorder="1" applyAlignment="1">
      <alignment horizontal="center"/>
    </xf>
    <xf numFmtId="0" fontId="2" fillId="21" borderId="4" xfId="0" applyFont="1" applyFill="1" applyBorder="1" applyAlignment="1">
      <alignment horizontal="center" vertical="center" wrapText="1"/>
    </xf>
    <xf numFmtId="0" fontId="23" fillId="0" borderId="28" xfId="0" applyFont="1" applyBorder="1" applyAlignment="1">
      <alignment horizontal="center"/>
    </xf>
    <xf numFmtId="0" fontId="64" fillId="0" borderId="0" xfId="0" applyFont="1" applyAlignment="1">
      <alignment horizontal="left" vertical="center"/>
    </xf>
    <xf numFmtId="0" fontId="67" fillId="0" borderId="0" xfId="0" applyFont="1" applyAlignment="1">
      <alignment horizontal="center" vertical="center"/>
    </xf>
    <xf numFmtId="0" fontId="0" fillId="0" borderId="30" xfId="0" applyBorder="1" applyAlignment="1">
      <alignment horizontal="center"/>
    </xf>
    <xf numFmtId="0" fontId="0" fillId="0" borderId="33" xfId="0" applyBorder="1" applyAlignment="1">
      <alignment horizontal="center"/>
    </xf>
    <xf numFmtId="0" fontId="2" fillId="0" borderId="12" xfId="0" applyFont="1" applyBorder="1" applyAlignment="1">
      <alignment horizontal="center" vertical="top"/>
    </xf>
    <xf numFmtId="0" fontId="2" fillId="0" borderId="26" xfId="0" applyFont="1" applyBorder="1" applyAlignment="1">
      <alignment horizontal="center" vertical="top"/>
    </xf>
    <xf numFmtId="0" fontId="2" fillId="0" borderId="27" xfId="0" applyFont="1" applyBorder="1" applyAlignment="1">
      <alignment horizontal="center" vertical="top"/>
    </xf>
    <xf numFmtId="0" fontId="2" fillId="0" borderId="9" xfId="0" applyFont="1" applyBorder="1" applyAlignment="1">
      <alignment horizontal="center" vertical="top"/>
    </xf>
    <xf numFmtId="0" fontId="2" fillId="0" borderId="0" xfId="0" applyFont="1" applyAlignment="1">
      <alignment horizontal="center" vertical="top"/>
    </xf>
    <xf numFmtId="0" fontId="2" fillId="0" borderId="25" xfId="0" applyFont="1" applyBorder="1" applyAlignment="1">
      <alignment horizontal="center" vertical="top"/>
    </xf>
    <xf numFmtId="0" fontId="2" fillId="0" borderId="14" xfId="0" applyFont="1" applyBorder="1" applyAlignment="1">
      <alignment horizontal="center" vertical="top"/>
    </xf>
    <xf numFmtId="0" fontId="2" fillId="0" borderId="28" xfId="0" applyFont="1" applyBorder="1" applyAlignment="1">
      <alignment horizontal="center" vertical="top"/>
    </xf>
    <xf numFmtId="0" fontId="2" fillId="0" borderId="31" xfId="0" applyFont="1" applyBorder="1" applyAlignment="1">
      <alignment horizontal="center" vertical="top"/>
    </xf>
    <xf numFmtId="0" fontId="2" fillId="14" borderId="4" xfId="0" applyFont="1" applyFill="1" applyBorder="1" applyAlignment="1">
      <alignment horizontal="center"/>
    </xf>
    <xf numFmtId="0" fontId="54" fillId="15" borderId="12" xfId="0" applyFont="1" applyFill="1" applyBorder="1" applyAlignment="1">
      <alignment horizontal="center" vertical="center"/>
    </xf>
    <xf numFmtId="0" fontId="54" fillId="15" borderId="26" xfId="0" applyFont="1" applyFill="1" applyBorder="1" applyAlignment="1">
      <alignment horizontal="center" vertical="center"/>
    </xf>
    <xf numFmtId="0" fontId="54" fillId="15" borderId="27" xfId="0" applyFont="1" applyFill="1" applyBorder="1" applyAlignment="1">
      <alignment horizontal="center" vertical="center"/>
    </xf>
    <xf numFmtId="0" fontId="54" fillId="15" borderId="14" xfId="0" applyFont="1" applyFill="1" applyBorder="1" applyAlignment="1">
      <alignment horizontal="center" vertical="center"/>
    </xf>
    <xf numFmtId="0" fontId="54" fillId="15" borderId="28" xfId="0" applyFont="1" applyFill="1" applyBorder="1" applyAlignment="1">
      <alignment horizontal="center" vertical="center"/>
    </xf>
    <xf numFmtId="0" fontId="54" fillId="15" borderId="31" xfId="0" applyFont="1" applyFill="1" applyBorder="1" applyAlignment="1">
      <alignment horizontal="center" vertical="center"/>
    </xf>
    <xf numFmtId="0" fontId="2" fillId="14" borderId="30" xfId="0" applyFont="1" applyFill="1" applyBorder="1" applyAlignment="1">
      <alignment horizontal="center"/>
    </xf>
    <xf numFmtId="0" fontId="2" fillId="14" borderId="32" xfId="0" applyFont="1" applyFill="1" applyBorder="1" applyAlignment="1">
      <alignment horizontal="center"/>
    </xf>
    <xf numFmtId="0" fontId="2" fillId="14" borderId="33" xfId="0" applyFont="1" applyFill="1" applyBorder="1" applyAlignment="1">
      <alignment horizontal="center"/>
    </xf>
    <xf numFmtId="0" fontId="0" fillId="0" borderId="12"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14" xfId="0" applyBorder="1" applyAlignment="1">
      <alignment horizontal="center"/>
    </xf>
    <xf numFmtId="0" fontId="0" fillId="0" borderId="31" xfId="0" applyBorder="1" applyAlignment="1">
      <alignment horizontal="center"/>
    </xf>
    <xf numFmtId="0" fontId="2" fillId="14" borderId="14" xfId="0" applyFont="1" applyFill="1" applyBorder="1" applyAlignment="1">
      <alignment horizontal="center"/>
    </xf>
    <xf numFmtId="0" fontId="2" fillId="14" borderId="28" xfId="0" applyFont="1" applyFill="1" applyBorder="1" applyAlignment="1">
      <alignment horizontal="center"/>
    </xf>
    <xf numFmtId="0" fontId="2" fillId="14" borderId="31" xfId="0" applyFont="1" applyFill="1" applyBorder="1" applyAlignment="1">
      <alignment horizontal="center"/>
    </xf>
    <xf numFmtId="0" fontId="2" fillId="0" borderId="14" xfId="0" applyFont="1" applyBorder="1" applyAlignment="1">
      <alignment horizontal="center"/>
    </xf>
    <xf numFmtId="0" fontId="2" fillId="0" borderId="28" xfId="0" applyFont="1" applyBorder="1" applyAlignment="1">
      <alignment horizontal="center"/>
    </xf>
    <xf numFmtId="0" fontId="2" fillId="0" borderId="31" xfId="0" applyFont="1" applyBorder="1" applyAlignment="1">
      <alignment horizontal="center"/>
    </xf>
    <xf numFmtId="0" fontId="2" fillId="0" borderId="9" xfId="0" applyFont="1" applyBorder="1" applyAlignment="1">
      <alignment horizontal="center"/>
    </xf>
    <xf numFmtId="0" fontId="0" fillId="35" borderId="30" xfId="0" applyFill="1" applyBorder="1" applyAlignment="1">
      <alignment horizontal="center"/>
    </xf>
    <xf numFmtId="0" fontId="0" fillId="35" borderId="33" xfId="0" applyFill="1" applyBorder="1" applyAlignment="1">
      <alignment horizontal="center"/>
    </xf>
    <xf numFmtId="0" fontId="0" fillId="35" borderId="4" xfId="0" applyFill="1" applyBorder="1" applyAlignment="1">
      <alignment horizontal="left" vertical="top"/>
    </xf>
    <xf numFmtId="0" fontId="0" fillId="35" borderId="4" xfId="0" applyFill="1" applyBorder="1" applyAlignment="1">
      <alignment horizontal="center"/>
    </xf>
    <xf numFmtId="0" fontId="2" fillId="21" borderId="4" xfId="0" applyFont="1" applyFill="1" applyBorder="1" applyAlignment="1">
      <alignment horizontal="center"/>
    </xf>
    <xf numFmtId="0" fontId="2" fillId="0" borderId="4" xfId="0" applyFont="1" applyBorder="1" applyAlignment="1">
      <alignment horizontal="left" vertical="top"/>
    </xf>
    <xf numFmtId="0" fontId="12" fillId="18" borderId="4" xfId="0" applyFont="1" applyFill="1" applyBorder="1" applyAlignment="1">
      <alignment horizontal="center" vertical="center"/>
    </xf>
    <xf numFmtId="0" fontId="2" fillId="42" borderId="4" xfId="0" applyFont="1" applyFill="1" applyBorder="1" applyAlignment="1">
      <alignment horizontal="center"/>
    </xf>
    <xf numFmtId="0" fontId="2" fillId="18" borderId="4" xfId="0" applyFont="1" applyFill="1" applyBorder="1" applyAlignment="1">
      <alignment horizontal="center"/>
    </xf>
    <xf numFmtId="0" fontId="53" fillId="24" borderId="28" xfId="0" applyFont="1" applyFill="1" applyBorder="1" applyAlignment="1">
      <alignment horizontal="center"/>
    </xf>
    <xf numFmtId="0" fontId="53" fillId="24" borderId="31" xfId="0" applyFont="1" applyFill="1" applyBorder="1" applyAlignment="1">
      <alignment horizontal="center"/>
    </xf>
    <xf numFmtId="0" fontId="2" fillId="24" borderId="4" xfId="0" applyFont="1" applyFill="1" applyBorder="1" applyAlignment="1">
      <alignment horizontal="left" vertical="top"/>
    </xf>
    <xf numFmtId="0" fontId="2" fillId="24" borderId="54" xfId="0" applyFont="1" applyFill="1" applyBorder="1" applyAlignment="1">
      <alignment horizontal="center" vertical="center"/>
    </xf>
    <xf numFmtId="0" fontId="2" fillId="24" borderId="4" xfId="0" applyFont="1" applyFill="1" applyBorder="1" applyAlignment="1">
      <alignment horizontal="center" vertical="center"/>
    </xf>
    <xf numFmtId="0" fontId="2" fillId="24" borderId="104" xfId="0" applyFont="1" applyFill="1" applyBorder="1" applyAlignment="1">
      <alignment horizontal="center" vertical="center"/>
    </xf>
    <xf numFmtId="0" fontId="2" fillId="24" borderId="9" xfId="0" applyFont="1" applyFill="1" applyBorder="1" applyAlignment="1">
      <alignment horizontal="right"/>
    </xf>
    <xf numFmtId="0" fontId="2" fillId="24" borderId="0" xfId="0" applyFont="1" applyFill="1" applyAlignment="1">
      <alignment horizontal="right"/>
    </xf>
    <xf numFmtId="0" fontId="2" fillId="24" borderId="4" xfId="0" applyFont="1" applyFill="1" applyBorder="1" applyAlignment="1">
      <alignment horizontal="center"/>
    </xf>
    <xf numFmtId="0" fontId="54" fillId="24" borderId="4" xfId="0" applyFont="1" applyFill="1" applyBorder="1" applyAlignment="1">
      <alignment horizontal="center" vertical="center"/>
    </xf>
    <xf numFmtId="0" fontId="12" fillId="0" borderId="4" xfId="0" applyFont="1" applyBorder="1" applyAlignment="1">
      <alignment horizontal="center" vertical="center"/>
    </xf>
    <xf numFmtId="0" fontId="23" fillId="0" borderId="12" xfId="0" applyFont="1" applyBorder="1" applyAlignment="1">
      <alignment horizontal="center" vertical="center"/>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23" fillId="0" borderId="14" xfId="0" applyFont="1" applyBorder="1" applyAlignment="1">
      <alignment horizontal="center" vertical="center"/>
    </xf>
    <xf numFmtId="0" fontId="23" fillId="0" borderId="28" xfId="0" applyFont="1" applyBorder="1" applyAlignment="1">
      <alignment horizontal="center" vertical="center"/>
    </xf>
    <xf numFmtId="0" fontId="23" fillId="0" borderId="31" xfId="0" applyFont="1" applyBorder="1" applyAlignment="1">
      <alignment horizontal="center" vertical="center"/>
    </xf>
    <xf numFmtId="0" fontId="12" fillId="40" borderId="4" xfId="0" applyFont="1" applyFill="1" applyBorder="1" applyAlignment="1">
      <alignment horizontal="center" vertical="center"/>
    </xf>
    <xf numFmtId="0" fontId="2" fillId="39" borderId="4" xfId="0" applyFont="1" applyFill="1" applyBorder="1" applyAlignment="1">
      <alignment horizontal="center"/>
    </xf>
    <xf numFmtId="0" fontId="2" fillId="39" borderId="0" xfId="0" applyFont="1" applyFill="1" applyAlignment="1">
      <alignment horizontal="center"/>
    </xf>
    <xf numFmtId="0" fontId="12" fillId="21" borderId="12" xfId="0" applyFont="1" applyFill="1" applyBorder="1" applyAlignment="1">
      <alignment horizontal="center" vertical="center"/>
    </xf>
    <xf numFmtId="0" fontId="12" fillId="21" borderId="26" xfId="0" applyFont="1" applyFill="1" applyBorder="1" applyAlignment="1">
      <alignment horizontal="center" vertical="center"/>
    </xf>
    <xf numFmtId="0" fontId="12" fillId="21" borderId="27" xfId="0" applyFont="1" applyFill="1" applyBorder="1" applyAlignment="1">
      <alignment horizontal="center" vertical="center"/>
    </xf>
    <xf numFmtId="0" fontId="12" fillId="21" borderId="14" xfId="0" applyFont="1" applyFill="1" applyBorder="1" applyAlignment="1">
      <alignment horizontal="center" vertical="center"/>
    </xf>
    <xf numFmtId="0" fontId="12" fillId="21" borderId="28" xfId="0" applyFont="1" applyFill="1" applyBorder="1" applyAlignment="1">
      <alignment horizontal="center" vertical="center"/>
    </xf>
    <xf numFmtId="0" fontId="12" fillId="21" borderId="31" xfId="0" applyFont="1" applyFill="1" applyBorder="1" applyAlignment="1">
      <alignment horizontal="center" vertical="center"/>
    </xf>
    <xf numFmtId="0" fontId="2" fillId="21" borderId="32" xfId="0" applyFont="1" applyFill="1" applyBorder="1" applyAlignment="1">
      <alignment horizontal="center"/>
    </xf>
    <xf numFmtId="0" fontId="2" fillId="21" borderId="33" xfId="0" applyFont="1" applyFill="1" applyBorder="1" applyAlignment="1">
      <alignment horizontal="center"/>
    </xf>
    <xf numFmtId="0" fontId="2" fillId="21" borderId="26" xfId="0" applyFont="1" applyFill="1" applyBorder="1" applyAlignment="1">
      <alignment horizontal="center"/>
    </xf>
    <xf numFmtId="0" fontId="2" fillId="21" borderId="27" xfId="0" applyFont="1" applyFill="1" applyBorder="1" applyAlignment="1">
      <alignment horizontal="center"/>
    </xf>
    <xf numFmtId="0" fontId="2" fillId="34" borderId="30" xfId="0" applyFont="1" applyFill="1" applyBorder="1" applyAlignment="1">
      <alignment horizontal="center"/>
    </xf>
    <xf numFmtId="0" fontId="2" fillId="34" borderId="32" xfId="0" applyFont="1" applyFill="1" applyBorder="1" applyAlignment="1">
      <alignment horizontal="center"/>
    </xf>
    <xf numFmtId="0" fontId="2" fillId="34" borderId="33" xfId="0" applyFont="1" applyFill="1" applyBorder="1" applyAlignment="1">
      <alignment horizontal="center"/>
    </xf>
    <xf numFmtId="0" fontId="0" fillId="0" borderId="4" xfId="0" applyBorder="1" applyAlignment="1">
      <alignment horizontal="center" wrapText="1"/>
    </xf>
    <xf numFmtId="0" fontId="2" fillId="34" borderId="4" xfId="0" applyFont="1" applyFill="1" applyBorder="1" applyAlignment="1">
      <alignment horizontal="center"/>
    </xf>
    <xf numFmtId="0" fontId="54" fillId="0" borderId="4" xfId="0" applyFont="1" applyBorder="1" applyAlignment="1">
      <alignment horizontal="center" vertical="center"/>
    </xf>
    <xf numFmtId="0" fontId="0" fillId="0" borderId="4" xfId="0" applyBorder="1" applyAlignment="1">
      <alignment horizontal="center" vertical="center" wrapText="1"/>
    </xf>
    <xf numFmtId="0" fontId="0" fillId="17" borderId="4" xfId="0" applyFill="1" applyBorder="1" applyAlignment="1">
      <alignment horizontal="center"/>
    </xf>
    <xf numFmtId="0" fontId="0" fillId="17" borderId="9" xfId="0" applyFill="1" applyBorder="1" applyAlignment="1">
      <alignment horizontal="center"/>
    </xf>
    <xf numFmtId="0" fontId="0" fillId="17" borderId="0" xfId="0" applyFill="1" applyAlignment="1">
      <alignment horizontal="center"/>
    </xf>
    <xf numFmtId="0" fontId="2" fillId="34" borderId="30" xfId="0" applyFont="1" applyFill="1" applyBorder="1" applyAlignment="1">
      <alignment horizontal="left"/>
    </xf>
    <xf numFmtId="0" fontId="2" fillId="34" borderId="32" xfId="0" applyFont="1" applyFill="1" applyBorder="1" applyAlignment="1">
      <alignment horizontal="left"/>
    </xf>
    <xf numFmtId="0" fontId="2" fillId="34" borderId="33" xfId="0" applyFont="1" applyFill="1" applyBorder="1" applyAlignment="1">
      <alignment horizontal="left"/>
    </xf>
    <xf numFmtId="0" fontId="12" fillId="17" borderId="12" xfId="0" applyFont="1" applyFill="1" applyBorder="1" applyAlignment="1">
      <alignment horizontal="center" vertical="center"/>
    </xf>
    <xf numFmtId="0" fontId="12" fillId="17" borderId="26" xfId="0" applyFont="1" applyFill="1" applyBorder="1" applyAlignment="1">
      <alignment horizontal="center" vertical="center"/>
    </xf>
    <xf numFmtId="0" fontId="12" fillId="17" borderId="27" xfId="0" applyFont="1" applyFill="1" applyBorder="1" applyAlignment="1">
      <alignment horizontal="center" vertical="center"/>
    </xf>
    <xf numFmtId="0" fontId="12" fillId="17" borderId="14" xfId="0" applyFont="1" applyFill="1" applyBorder="1" applyAlignment="1">
      <alignment horizontal="center" vertical="center"/>
    </xf>
    <xf numFmtId="0" fontId="12" fillId="17" borderId="28" xfId="0" applyFont="1" applyFill="1" applyBorder="1" applyAlignment="1">
      <alignment horizontal="center" vertical="center"/>
    </xf>
    <xf numFmtId="0" fontId="12" fillId="17" borderId="31" xfId="0" applyFont="1" applyFill="1" applyBorder="1" applyAlignment="1">
      <alignment horizontal="center" vertical="center"/>
    </xf>
    <xf numFmtId="0" fontId="0" fillId="17" borderId="14" xfId="0" applyFill="1" applyBorder="1" applyAlignment="1">
      <alignment horizontal="center"/>
    </xf>
    <xf numFmtId="0" fontId="0" fillId="17" borderId="28" xfId="0" applyFill="1" applyBorder="1" applyAlignment="1">
      <alignment horizontal="center"/>
    </xf>
    <xf numFmtId="0" fontId="0" fillId="17" borderId="31" xfId="0" applyFill="1" applyBorder="1" applyAlignment="1">
      <alignment horizontal="center"/>
    </xf>
    <xf numFmtId="0" fontId="0" fillId="17" borderId="12" xfId="0" applyFill="1" applyBorder="1" applyAlignment="1">
      <alignment horizontal="center" wrapText="1"/>
    </xf>
    <xf numFmtId="0" fontId="0" fillId="17" borderId="26" xfId="0" applyFill="1" applyBorder="1" applyAlignment="1">
      <alignment horizontal="center" wrapText="1"/>
    </xf>
    <xf numFmtId="0" fontId="0" fillId="17" borderId="27" xfId="0" applyFill="1" applyBorder="1" applyAlignment="1">
      <alignment horizontal="center" wrapText="1"/>
    </xf>
    <xf numFmtId="0" fontId="0" fillId="17" borderId="9" xfId="0" applyFill="1" applyBorder="1" applyAlignment="1">
      <alignment horizontal="center" wrapText="1"/>
    </xf>
    <xf numFmtId="0" fontId="0" fillId="17" borderId="0" xfId="0" applyFill="1" applyAlignment="1">
      <alignment horizontal="center" wrapText="1"/>
    </xf>
    <xf numFmtId="0" fontId="0" fillId="17" borderId="25" xfId="0" applyFill="1" applyBorder="1" applyAlignment="1">
      <alignment horizontal="center" wrapText="1"/>
    </xf>
    <xf numFmtId="0" fontId="0" fillId="17" borderId="14" xfId="0" applyFill="1" applyBorder="1" applyAlignment="1">
      <alignment horizontal="center" wrapText="1"/>
    </xf>
    <xf numFmtId="0" fontId="0" fillId="17" borderId="28" xfId="0" applyFill="1" applyBorder="1" applyAlignment="1">
      <alignment horizontal="center" wrapText="1"/>
    </xf>
    <xf numFmtId="0" fontId="0" fillId="17" borderId="31" xfId="0" applyFill="1" applyBorder="1" applyAlignment="1">
      <alignment horizontal="center" wrapText="1"/>
    </xf>
    <xf numFmtId="9" fontId="0" fillId="29" borderId="4" xfId="1" applyFont="1" applyFill="1" applyBorder="1" applyAlignment="1">
      <alignment horizontal="center" vertical="center"/>
    </xf>
    <xf numFmtId="9" fontId="73" fillId="10" borderId="4" xfId="1" applyFont="1" applyFill="1" applyBorder="1" applyAlignment="1">
      <alignment horizontal="center" vertical="center"/>
    </xf>
    <xf numFmtId="0" fontId="0" fillId="0" borderId="4" xfId="0" applyBorder="1" applyAlignment="1">
      <alignment horizontal="center" vertical="center"/>
    </xf>
    <xf numFmtId="0" fontId="72" fillId="0" borderId="4" xfId="0" applyFont="1" applyBorder="1" applyAlignment="1">
      <alignment horizontal="center" vertical="center"/>
    </xf>
    <xf numFmtId="0" fontId="56" fillId="19" borderId="30" xfId="0" applyFont="1" applyFill="1" applyBorder="1" applyAlignment="1">
      <alignment horizontal="center" vertical="center"/>
    </xf>
    <xf numFmtId="0" fontId="56" fillId="19" borderId="32" xfId="0" applyFont="1" applyFill="1" applyBorder="1" applyAlignment="1">
      <alignment horizontal="center" vertical="center"/>
    </xf>
    <xf numFmtId="0" fontId="56" fillId="19" borderId="33" xfId="0" applyFont="1" applyFill="1" applyBorder="1" applyAlignment="1">
      <alignment horizontal="center" vertical="center"/>
    </xf>
  </cellXfs>
  <cellStyles count="12">
    <cellStyle name="Hipervínculo" xfId="4" builtinId="8"/>
    <cellStyle name="Hipervínculo 2" xfId="7" xr:uid="{00000000-0005-0000-0000-000001000000}"/>
    <cellStyle name="Millares" xfId="10" builtinId="3"/>
    <cellStyle name="Millares 2" xfId="2" xr:uid="{00000000-0005-0000-0000-000003000000}"/>
    <cellStyle name="Millares 3" xfId="8" xr:uid="{00000000-0005-0000-0000-000004000000}"/>
    <cellStyle name="Moneda" xfId="11" builtinId="4"/>
    <cellStyle name="Moneda 2" xfId="3" xr:uid="{00000000-0005-0000-0000-000006000000}"/>
    <cellStyle name="Normal" xfId="0" builtinId="0"/>
    <cellStyle name="Normal 2" xfId="5" xr:uid="{00000000-0005-0000-0000-000008000000}"/>
    <cellStyle name="Normal 3" xfId="6" xr:uid="{00000000-0005-0000-0000-000009000000}"/>
    <cellStyle name="Porcentaje" xfId="1" builtinId="5"/>
    <cellStyle name="Porcentaje 2" xfId="9" xr:uid="{00000000-0005-0000-0000-00000B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outline="0">
        <bottom style="thin">
          <color indexed="64"/>
        </bottom>
      </border>
    </dxf>
    <dxf>
      <fill>
        <patternFill patternType="solid">
          <fgColor indexed="64"/>
          <bgColor theme="4" tint="0.39997558519241921"/>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Materia Prima</a:t>
            </a:r>
          </a:p>
        </c:rich>
      </c:tx>
      <c:overlay val="0"/>
    </c:title>
    <c:autoTitleDeleted val="0"/>
    <c:plotArea>
      <c:layout/>
      <c:lineChart>
        <c:grouping val="standard"/>
        <c:varyColors val="0"/>
        <c:ser>
          <c:idx val="0"/>
          <c:order val="0"/>
          <c:tx>
            <c:strRef>
              <c:f>'costos de produccion'!$B$13</c:f>
              <c:strCache>
                <c:ptCount val="1"/>
                <c:pt idx="0">
                  <c:v>Costo de Materias Primas</c:v>
                </c:pt>
              </c:strCache>
            </c:strRef>
          </c:tx>
          <c:cat>
            <c:strRef>
              <c:f>'costos de produccion'!$C$5:$N$5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'costos de produccion'!$C$13:$N$13</c:f>
              <c:numCache>
                <c:formatCode>_ "$"\ * #,##0_ ;_ "$"\ * \-#,##0_ ;_ "$"\ * "-"??_ ;_ @_ </c:formatCode>
                <c:ptCount val="12"/>
                <c:pt idx="0">
                  <c:v>667</c:v>
                </c:pt>
                <c:pt idx="1">
                  <c:v>1646</c:v>
                </c:pt>
                <c:pt idx="2">
                  <c:v>1737</c:v>
                </c:pt>
                <c:pt idx="3">
                  <c:v>4353</c:v>
                </c:pt>
                <c:pt idx="4">
                  <c:v>2481</c:v>
                </c:pt>
                <c:pt idx="5">
                  <c:v>3983</c:v>
                </c:pt>
                <c:pt idx="6">
                  <c:v>4752</c:v>
                </c:pt>
                <c:pt idx="7">
                  <c:v>5011</c:v>
                </c:pt>
                <c:pt idx="8">
                  <c:v>5337</c:v>
                </c:pt>
                <c:pt idx="9">
                  <c:v>5582</c:v>
                </c:pt>
                <c:pt idx="10">
                  <c:v>7400</c:v>
                </c:pt>
                <c:pt idx="11">
                  <c:v>6219</c:v>
                </c:pt>
              </c:numCache>
            </c:numRef>
          </c:val>
          <c:smooth val="0"/>
          <c:extLst>
            <c:ext xmlns:c16="http://schemas.microsoft.com/office/drawing/2014/chart" uri="{C3380CC4-5D6E-409C-BE32-E72D297353CC}">
              <c16:uniqueId val="{00000000-AFA4-B04B-BA40-D74E07221C2D}"/>
            </c:ext>
          </c:extLst>
        </c:ser>
        <c:dLbls>
          <c:showLegendKey val="0"/>
          <c:showVal val="0"/>
          <c:showCatName val="0"/>
          <c:showSerName val="0"/>
          <c:showPercent val="0"/>
          <c:showBubbleSize val="0"/>
        </c:dLbls>
        <c:marker val="1"/>
        <c:smooth val="0"/>
        <c:axId val="127728640"/>
        <c:axId val="127472384"/>
      </c:lineChart>
      <c:lineChart>
        <c:grouping val="standard"/>
        <c:varyColors val="0"/>
        <c:ser>
          <c:idx val="1"/>
          <c:order val="1"/>
          <c:tx>
            <c:strRef>
              <c:f>'costos de produccion'!$A$21</c:f>
              <c:strCache>
                <c:ptCount val="1"/>
                <c:pt idx="0">
                  <c:v>Producción Mensual Kg. </c:v>
                </c:pt>
              </c:strCache>
            </c:strRef>
          </c:tx>
          <c:cat>
            <c:strRef>
              <c:f>'costos de produccion'!$C$5:$N$5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'costos de produccion'!$C$21:$N$21</c:f>
              <c:numCache>
                <c:formatCode>_ "$"\ * #,##0_ ;_ "$"\ * \-#,##0_ ;_ "$"\ * "-"??_ ;_ @_ </c:formatCode>
                <c:ptCount val="12"/>
                <c:pt idx="0">
                  <c:v>3254</c:v>
                </c:pt>
                <c:pt idx="1">
                  <c:v>3292</c:v>
                </c:pt>
                <c:pt idx="2">
                  <c:v>3301</c:v>
                </c:pt>
                <c:pt idx="3">
                  <c:v>3320</c:v>
                </c:pt>
                <c:pt idx="4">
                  <c:v>3355</c:v>
                </c:pt>
                <c:pt idx="5">
                  <c:v>3215</c:v>
                </c:pt>
                <c:pt idx="6">
                  <c:v>3450</c:v>
                </c:pt>
                <c:pt idx="7">
                  <c:v>3257</c:v>
                </c:pt>
                <c:pt idx="8">
                  <c:v>3329</c:v>
                </c:pt>
                <c:pt idx="9">
                  <c:v>3211</c:v>
                </c:pt>
                <c:pt idx="10">
                  <c:v>3335</c:v>
                </c:pt>
                <c:pt idx="11">
                  <c:v>3207</c:v>
                </c:pt>
              </c:numCache>
            </c:numRef>
          </c:val>
          <c:smooth val="0"/>
          <c:extLst>
            <c:ext xmlns:c16="http://schemas.microsoft.com/office/drawing/2014/chart" uri="{C3380CC4-5D6E-409C-BE32-E72D297353CC}">
              <c16:uniqueId val="{00000001-AFA4-B04B-BA40-D74E07221C2D}"/>
            </c:ext>
          </c:extLst>
        </c:ser>
        <c:dLbls>
          <c:showLegendKey val="0"/>
          <c:showVal val="0"/>
          <c:showCatName val="0"/>
          <c:showSerName val="0"/>
          <c:showPercent val="0"/>
          <c:showBubbleSize val="0"/>
        </c:dLbls>
        <c:marker val="1"/>
        <c:smooth val="0"/>
        <c:axId val="127479808"/>
        <c:axId val="127473920"/>
      </c:lineChart>
      <c:catAx>
        <c:axId val="127728640"/>
        <c:scaling>
          <c:orientation val="minMax"/>
        </c:scaling>
        <c:delete val="0"/>
        <c:axPos val="b"/>
        <c:numFmt formatCode="General" sourceLinked="0"/>
        <c:majorTickMark val="none"/>
        <c:minorTickMark val="none"/>
        <c:tickLblPos val="nextTo"/>
        <c:txPr>
          <a:bodyPr/>
          <a:lstStyle/>
          <a:p>
            <a:pPr>
              <a:defRPr sz="1050" b="1"/>
            </a:pPr>
            <a:endParaRPr lang="en-US"/>
          </a:p>
        </c:txPr>
        <c:crossAx val="127472384"/>
        <c:crosses val="autoZero"/>
        <c:auto val="1"/>
        <c:lblAlgn val="ctr"/>
        <c:lblOffset val="100"/>
        <c:noMultiLvlLbl val="0"/>
      </c:catAx>
      <c:valAx>
        <c:axId val="127472384"/>
        <c:scaling>
          <c:orientation val="minMax"/>
        </c:scaling>
        <c:delete val="0"/>
        <c:axPos val="l"/>
        <c:majorGridlines/>
        <c:numFmt formatCode="_ &quot;$&quot;\ * #,##0_ ;_ &quot;$&quot;\ * \-#,##0_ ;_ &quot;$&quot;\ * &quot;-&quot;??_ ;_ @_ " sourceLinked="1"/>
        <c:majorTickMark val="none"/>
        <c:minorTickMark val="none"/>
        <c:tickLblPos val="nextTo"/>
        <c:crossAx val="127728640"/>
        <c:crosses val="autoZero"/>
        <c:crossBetween val="between"/>
      </c:valAx>
      <c:valAx>
        <c:axId val="127473920"/>
        <c:scaling>
          <c:orientation val="minMax"/>
        </c:scaling>
        <c:delete val="0"/>
        <c:axPos val="r"/>
        <c:numFmt formatCode="_ &quot;$&quot;\ * #,##0_ ;_ &quot;$&quot;\ * \-#,##0_ ;_ &quot;$&quot;\ * &quot;-&quot;??_ ;_ @_ " sourceLinked="1"/>
        <c:majorTickMark val="out"/>
        <c:minorTickMark val="none"/>
        <c:tickLblPos val="nextTo"/>
        <c:txPr>
          <a:bodyPr/>
          <a:lstStyle/>
          <a:p>
            <a:pPr>
              <a:defRPr b="1"/>
            </a:pPr>
            <a:endParaRPr lang="en-US"/>
          </a:p>
        </c:txPr>
        <c:crossAx val="127479808"/>
        <c:crosses val="max"/>
        <c:crossBetween val="between"/>
      </c:valAx>
      <c:catAx>
        <c:axId val="127479808"/>
        <c:scaling>
          <c:orientation val="minMax"/>
        </c:scaling>
        <c:delete val="1"/>
        <c:axPos val="b"/>
        <c:numFmt formatCode="General" sourceLinked="1"/>
        <c:majorTickMark val="out"/>
        <c:minorTickMark val="none"/>
        <c:tickLblPos val="nextTo"/>
        <c:crossAx val="127473920"/>
        <c:crosses val="autoZero"/>
        <c:auto val="1"/>
        <c:lblAlgn val="ctr"/>
        <c:lblOffset val="100"/>
        <c:noMultiLvlLbl val="0"/>
      </c:catAx>
    </c:plotArea>
    <c:legend>
      <c:legendPos val="b"/>
      <c:overlay val="0"/>
      <c:txPr>
        <a:bodyPr/>
        <a:lstStyle/>
        <a:p>
          <a:pPr>
            <a:defRPr b="1"/>
          </a:pPr>
          <a:endParaRPr lang="en-US"/>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Mano</a:t>
            </a:r>
            <a:r>
              <a:rPr lang="en-US" baseline="0"/>
              <a:t> de Obra</a:t>
            </a:r>
            <a:endParaRPr lang="en-US"/>
          </a:p>
        </c:rich>
      </c:tx>
      <c:overlay val="0"/>
    </c:title>
    <c:autoTitleDeleted val="0"/>
    <c:plotArea>
      <c:layout/>
      <c:lineChart>
        <c:grouping val="standard"/>
        <c:varyColors val="0"/>
        <c:ser>
          <c:idx val="0"/>
          <c:order val="0"/>
          <c:tx>
            <c:strRef>
              <c:f>'costos de produccion'!$B$15</c:f>
              <c:strCache>
                <c:ptCount val="1"/>
                <c:pt idx="0">
                  <c:v>Mano de Obra Directa</c:v>
                </c:pt>
              </c:strCache>
            </c:strRef>
          </c:tx>
          <c:cat>
            <c:strRef>
              <c:f>'costos de produccion'!$C$5:$N$5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'costos de produccion'!$C$15:$N$15</c:f>
              <c:numCache>
                <c:formatCode>_ "$"\ * #,##0_ ;_ "$"\ * \-#,##0_ ;_ "$"\ * "-"??_ ;_ @_ </c:formatCode>
                <c:ptCount val="12"/>
                <c:pt idx="0">
                  <c:v>1504</c:v>
                </c:pt>
                <c:pt idx="1">
                  <c:v>1312</c:v>
                </c:pt>
                <c:pt idx="2">
                  <c:v>1532</c:v>
                </c:pt>
                <c:pt idx="3">
                  <c:v>1566</c:v>
                </c:pt>
                <c:pt idx="4">
                  <c:v>1531</c:v>
                </c:pt>
                <c:pt idx="5">
                  <c:v>1566</c:v>
                </c:pt>
                <c:pt idx="6">
                  <c:v>1565</c:v>
                </c:pt>
                <c:pt idx="7">
                  <c:v>1374</c:v>
                </c:pt>
                <c:pt idx="8">
                  <c:v>1345</c:v>
                </c:pt>
                <c:pt idx="9">
                  <c:v>1343</c:v>
                </c:pt>
                <c:pt idx="10">
                  <c:v>1568</c:v>
                </c:pt>
                <c:pt idx="11">
                  <c:v>1503</c:v>
                </c:pt>
              </c:numCache>
            </c:numRef>
          </c:val>
          <c:smooth val="0"/>
          <c:extLst>
            <c:ext xmlns:c16="http://schemas.microsoft.com/office/drawing/2014/chart" uri="{C3380CC4-5D6E-409C-BE32-E72D297353CC}">
              <c16:uniqueId val="{00000000-5877-474E-AAB1-4FA898F516B1}"/>
            </c:ext>
          </c:extLst>
        </c:ser>
        <c:dLbls>
          <c:showLegendKey val="0"/>
          <c:showVal val="0"/>
          <c:showCatName val="0"/>
          <c:showSerName val="0"/>
          <c:showPercent val="0"/>
          <c:showBubbleSize val="0"/>
        </c:dLbls>
        <c:marker val="1"/>
        <c:smooth val="0"/>
        <c:axId val="127526784"/>
        <c:axId val="127528320"/>
      </c:lineChart>
      <c:lineChart>
        <c:grouping val="standard"/>
        <c:varyColors val="0"/>
        <c:ser>
          <c:idx val="1"/>
          <c:order val="1"/>
          <c:tx>
            <c:strRef>
              <c:f>'costos de produccion'!$A$21</c:f>
              <c:strCache>
                <c:ptCount val="1"/>
                <c:pt idx="0">
                  <c:v>Producción Mensual Kg. </c:v>
                </c:pt>
              </c:strCache>
            </c:strRef>
          </c:tx>
          <c:cat>
            <c:strRef>
              <c:f>'costos de produccion'!$C$5:$N$5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'costos de produccion'!$C$21:$N$21</c:f>
              <c:numCache>
                <c:formatCode>_ "$"\ * #,##0_ ;_ "$"\ * \-#,##0_ ;_ "$"\ * "-"??_ ;_ @_ </c:formatCode>
                <c:ptCount val="12"/>
                <c:pt idx="0">
                  <c:v>3254</c:v>
                </c:pt>
                <c:pt idx="1">
                  <c:v>3292</c:v>
                </c:pt>
                <c:pt idx="2">
                  <c:v>3301</c:v>
                </c:pt>
                <c:pt idx="3">
                  <c:v>3320</c:v>
                </c:pt>
                <c:pt idx="4">
                  <c:v>3355</c:v>
                </c:pt>
                <c:pt idx="5">
                  <c:v>3215</c:v>
                </c:pt>
                <c:pt idx="6">
                  <c:v>3450</c:v>
                </c:pt>
                <c:pt idx="7">
                  <c:v>3257</c:v>
                </c:pt>
                <c:pt idx="8">
                  <c:v>3329</c:v>
                </c:pt>
                <c:pt idx="9">
                  <c:v>3211</c:v>
                </c:pt>
                <c:pt idx="10">
                  <c:v>3335</c:v>
                </c:pt>
                <c:pt idx="11">
                  <c:v>3207</c:v>
                </c:pt>
              </c:numCache>
            </c:numRef>
          </c:val>
          <c:smooth val="0"/>
          <c:extLst>
            <c:ext xmlns:c16="http://schemas.microsoft.com/office/drawing/2014/chart" uri="{C3380CC4-5D6E-409C-BE32-E72D297353CC}">
              <c16:uniqueId val="{00000001-5877-474E-AAB1-4FA898F516B1}"/>
            </c:ext>
          </c:extLst>
        </c:ser>
        <c:dLbls>
          <c:showLegendKey val="0"/>
          <c:showVal val="0"/>
          <c:showCatName val="0"/>
          <c:showSerName val="0"/>
          <c:showPercent val="0"/>
          <c:showBubbleSize val="0"/>
        </c:dLbls>
        <c:marker val="1"/>
        <c:smooth val="0"/>
        <c:axId val="127609472"/>
        <c:axId val="127607936"/>
      </c:lineChart>
      <c:catAx>
        <c:axId val="127526784"/>
        <c:scaling>
          <c:orientation val="minMax"/>
        </c:scaling>
        <c:delete val="0"/>
        <c:axPos val="b"/>
        <c:numFmt formatCode="General" sourceLinked="0"/>
        <c:majorTickMark val="none"/>
        <c:minorTickMark val="none"/>
        <c:tickLblPos val="nextTo"/>
        <c:txPr>
          <a:bodyPr/>
          <a:lstStyle/>
          <a:p>
            <a:pPr>
              <a:defRPr sz="1050" b="1"/>
            </a:pPr>
            <a:endParaRPr lang="en-US"/>
          </a:p>
        </c:txPr>
        <c:crossAx val="127528320"/>
        <c:crosses val="autoZero"/>
        <c:auto val="1"/>
        <c:lblAlgn val="ctr"/>
        <c:lblOffset val="100"/>
        <c:noMultiLvlLbl val="0"/>
      </c:catAx>
      <c:valAx>
        <c:axId val="127528320"/>
        <c:scaling>
          <c:orientation val="minMax"/>
        </c:scaling>
        <c:delete val="0"/>
        <c:axPos val="l"/>
        <c:majorGridlines/>
        <c:numFmt formatCode="_ &quot;$&quot;\ * #,##0_ ;_ &quot;$&quot;\ * \-#,##0_ ;_ &quot;$&quot;\ * &quot;-&quot;??_ ;_ @_ " sourceLinked="1"/>
        <c:majorTickMark val="none"/>
        <c:minorTickMark val="none"/>
        <c:tickLblPos val="nextTo"/>
        <c:crossAx val="127526784"/>
        <c:crosses val="autoZero"/>
        <c:crossBetween val="between"/>
      </c:valAx>
      <c:valAx>
        <c:axId val="127607936"/>
        <c:scaling>
          <c:orientation val="minMax"/>
        </c:scaling>
        <c:delete val="0"/>
        <c:axPos val="r"/>
        <c:numFmt formatCode="_ &quot;$&quot;\ * #,##0_ ;_ &quot;$&quot;\ * \-#,##0_ ;_ &quot;$&quot;\ * &quot;-&quot;??_ ;_ @_ " sourceLinked="1"/>
        <c:majorTickMark val="out"/>
        <c:minorTickMark val="none"/>
        <c:tickLblPos val="nextTo"/>
        <c:txPr>
          <a:bodyPr/>
          <a:lstStyle/>
          <a:p>
            <a:pPr>
              <a:defRPr b="1"/>
            </a:pPr>
            <a:endParaRPr lang="en-US"/>
          </a:p>
        </c:txPr>
        <c:crossAx val="127609472"/>
        <c:crosses val="max"/>
        <c:crossBetween val="between"/>
      </c:valAx>
      <c:catAx>
        <c:axId val="127609472"/>
        <c:scaling>
          <c:orientation val="minMax"/>
        </c:scaling>
        <c:delete val="1"/>
        <c:axPos val="b"/>
        <c:numFmt formatCode="General" sourceLinked="1"/>
        <c:majorTickMark val="out"/>
        <c:minorTickMark val="none"/>
        <c:tickLblPos val="nextTo"/>
        <c:crossAx val="127607936"/>
        <c:crosses val="autoZero"/>
        <c:auto val="1"/>
        <c:lblAlgn val="ctr"/>
        <c:lblOffset val="100"/>
        <c:noMultiLvlLbl val="0"/>
      </c:catAx>
    </c:plotArea>
    <c:legend>
      <c:legendPos val="b"/>
      <c:overlay val="0"/>
      <c:txPr>
        <a:bodyPr/>
        <a:lstStyle/>
        <a:p>
          <a:pPr>
            <a:defRPr b="1"/>
          </a:pPr>
          <a:endParaRPr lang="en-US"/>
        </a:p>
      </c:txPr>
    </c:legend>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Gastos</a:t>
            </a:r>
            <a:r>
              <a:rPr lang="en-US" baseline="0"/>
              <a:t> de Fabricación</a:t>
            </a:r>
            <a:endParaRPr lang="en-US"/>
          </a:p>
        </c:rich>
      </c:tx>
      <c:overlay val="0"/>
    </c:title>
    <c:autoTitleDeleted val="0"/>
    <c:plotArea>
      <c:layout/>
      <c:lineChart>
        <c:grouping val="standard"/>
        <c:varyColors val="0"/>
        <c:ser>
          <c:idx val="0"/>
          <c:order val="0"/>
          <c:tx>
            <c:strRef>
              <c:f>'costos de produccion'!$B$17</c:f>
              <c:strCache>
                <c:ptCount val="1"/>
                <c:pt idx="0">
                  <c:v>Costos de Fabricación</c:v>
                </c:pt>
              </c:strCache>
            </c:strRef>
          </c:tx>
          <c:cat>
            <c:strRef>
              <c:f>'costos de produccion'!$C$5:$N$5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'costos de produccion'!$C$17:$N$17</c:f>
              <c:numCache>
                <c:formatCode>_ "$"\ * #,##0_ ;_ "$"\ * \-#,##0_ ;_ "$"\ * "-"??_ ;_ @_ </c:formatCode>
                <c:ptCount val="12"/>
                <c:pt idx="0">
                  <c:v>1267</c:v>
                </c:pt>
                <c:pt idx="1">
                  <c:v>1059</c:v>
                </c:pt>
                <c:pt idx="2">
                  <c:v>1263</c:v>
                </c:pt>
                <c:pt idx="3">
                  <c:v>1202</c:v>
                </c:pt>
                <c:pt idx="4">
                  <c:v>1256</c:v>
                </c:pt>
                <c:pt idx="5">
                  <c:v>1313</c:v>
                </c:pt>
                <c:pt idx="6">
                  <c:v>1215</c:v>
                </c:pt>
                <c:pt idx="7">
                  <c:v>1185</c:v>
                </c:pt>
                <c:pt idx="8">
                  <c:v>1074</c:v>
                </c:pt>
                <c:pt idx="9">
                  <c:v>1209</c:v>
                </c:pt>
                <c:pt idx="10">
                  <c:v>1154</c:v>
                </c:pt>
                <c:pt idx="11">
                  <c:v>1312</c:v>
                </c:pt>
              </c:numCache>
            </c:numRef>
          </c:val>
          <c:smooth val="0"/>
          <c:extLst>
            <c:ext xmlns:c16="http://schemas.microsoft.com/office/drawing/2014/chart" uri="{C3380CC4-5D6E-409C-BE32-E72D297353CC}">
              <c16:uniqueId val="{00000000-01A3-2F4D-9BFB-7542DF8A1F3B}"/>
            </c:ext>
          </c:extLst>
        </c:ser>
        <c:dLbls>
          <c:showLegendKey val="0"/>
          <c:showVal val="0"/>
          <c:showCatName val="0"/>
          <c:showSerName val="0"/>
          <c:showPercent val="0"/>
          <c:showBubbleSize val="0"/>
        </c:dLbls>
        <c:marker val="1"/>
        <c:smooth val="0"/>
        <c:axId val="127645952"/>
        <c:axId val="127655936"/>
      </c:lineChart>
      <c:lineChart>
        <c:grouping val="standard"/>
        <c:varyColors val="0"/>
        <c:ser>
          <c:idx val="1"/>
          <c:order val="1"/>
          <c:tx>
            <c:strRef>
              <c:f>'costos de produccion'!$A$21</c:f>
              <c:strCache>
                <c:ptCount val="1"/>
                <c:pt idx="0">
                  <c:v>Producción Mensual Kg. </c:v>
                </c:pt>
              </c:strCache>
            </c:strRef>
          </c:tx>
          <c:cat>
            <c:strRef>
              <c:f>'costos de produccion'!$C$5:$N$5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'costos de produccion'!$C$21:$N$21</c:f>
              <c:numCache>
                <c:formatCode>_ "$"\ * #,##0_ ;_ "$"\ * \-#,##0_ ;_ "$"\ * "-"??_ ;_ @_ </c:formatCode>
                <c:ptCount val="12"/>
                <c:pt idx="0">
                  <c:v>3254</c:v>
                </c:pt>
                <c:pt idx="1">
                  <c:v>3292</c:v>
                </c:pt>
                <c:pt idx="2">
                  <c:v>3301</c:v>
                </c:pt>
                <c:pt idx="3">
                  <c:v>3320</c:v>
                </c:pt>
                <c:pt idx="4">
                  <c:v>3355</c:v>
                </c:pt>
                <c:pt idx="5">
                  <c:v>3215</c:v>
                </c:pt>
                <c:pt idx="6">
                  <c:v>3450</c:v>
                </c:pt>
                <c:pt idx="7">
                  <c:v>3257</c:v>
                </c:pt>
                <c:pt idx="8">
                  <c:v>3329</c:v>
                </c:pt>
                <c:pt idx="9">
                  <c:v>3211</c:v>
                </c:pt>
                <c:pt idx="10">
                  <c:v>3335</c:v>
                </c:pt>
                <c:pt idx="11">
                  <c:v>3207</c:v>
                </c:pt>
              </c:numCache>
            </c:numRef>
          </c:val>
          <c:smooth val="0"/>
          <c:extLst>
            <c:ext xmlns:c16="http://schemas.microsoft.com/office/drawing/2014/chart" uri="{C3380CC4-5D6E-409C-BE32-E72D297353CC}">
              <c16:uniqueId val="{00000001-01A3-2F4D-9BFB-7542DF8A1F3B}"/>
            </c:ext>
          </c:extLst>
        </c:ser>
        <c:dLbls>
          <c:showLegendKey val="0"/>
          <c:showVal val="0"/>
          <c:showCatName val="0"/>
          <c:showSerName val="0"/>
          <c:showPercent val="0"/>
          <c:showBubbleSize val="0"/>
        </c:dLbls>
        <c:marker val="1"/>
        <c:smooth val="0"/>
        <c:axId val="127659008"/>
        <c:axId val="127657472"/>
      </c:lineChart>
      <c:catAx>
        <c:axId val="127645952"/>
        <c:scaling>
          <c:orientation val="minMax"/>
        </c:scaling>
        <c:delete val="0"/>
        <c:axPos val="b"/>
        <c:numFmt formatCode="General" sourceLinked="0"/>
        <c:majorTickMark val="none"/>
        <c:minorTickMark val="none"/>
        <c:tickLblPos val="nextTo"/>
        <c:txPr>
          <a:bodyPr/>
          <a:lstStyle/>
          <a:p>
            <a:pPr>
              <a:defRPr sz="1050" b="1"/>
            </a:pPr>
            <a:endParaRPr lang="en-US"/>
          </a:p>
        </c:txPr>
        <c:crossAx val="127655936"/>
        <c:crosses val="autoZero"/>
        <c:auto val="1"/>
        <c:lblAlgn val="ctr"/>
        <c:lblOffset val="100"/>
        <c:noMultiLvlLbl val="0"/>
      </c:catAx>
      <c:valAx>
        <c:axId val="127655936"/>
        <c:scaling>
          <c:orientation val="minMax"/>
        </c:scaling>
        <c:delete val="0"/>
        <c:axPos val="l"/>
        <c:majorGridlines/>
        <c:numFmt formatCode="_ &quot;$&quot;\ * #,##0_ ;_ &quot;$&quot;\ * \-#,##0_ ;_ &quot;$&quot;\ * &quot;-&quot;??_ ;_ @_ " sourceLinked="1"/>
        <c:majorTickMark val="none"/>
        <c:minorTickMark val="none"/>
        <c:tickLblPos val="nextTo"/>
        <c:crossAx val="127645952"/>
        <c:crosses val="autoZero"/>
        <c:crossBetween val="between"/>
      </c:valAx>
      <c:valAx>
        <c:axId val="127657472"/>
        <c:scaling>
          <c:orientation val="minMax"/>
        </c:scaling>
        <c:delete val="0"/>
        <c:axPos val="r"/>
        <c:numFmt formatCode="_ &quot;$&quot;\ * #,##0_ ;_ &quot;$&quot;\ * \-#,##0_ ;_ &quot;$&quot;\ * &quot;-&quot;??_ ;_ @_ " sourceLinked="1"/>
        <c:majorTickMark val="out"/>
        <c:minorTickMark val="none"/>
        <c:tickLblPos val="nextTo"/>
        <c:txPr>
          <a:bodyPr/>
          <a:lstStyle/>
          <a:p>
            <a:pPr>
              <a:defRPr b="1"/>
            </a:pPr>
            <a:endParaRPr lang="en-US"/>
          </a:p>
        </c:txPr>
        <c:crossAx val="127659008"/>
        <c:crosses val="max"/>
        <c:crossBetween val="between"/>
      </c:valAx>
      <c:catAx>
        <c:axId val="127659008"/>
        <c:scaling>
          <c:orientation val="minMax"/>
        </c:scaling>
        <c:delete val="1"/>
        <c:axPos val="b"/>
        <c:numFmt formatCode="General" sourceLinked="1"/>
        <c:majorTickMark val="out"/>
        <c:minorTickMark val="none"/>
        <c:tickLblPos val="nextTo"/>
        <c:crossAx val="127657472"/>
        <c:crosses val="autoZero"/>
        <c:auto val="1"/>
        <c:lblAlgn val="ctr"/>
        <c:lblOffset val="100"/>
        <c:noMultiLvlLbl val="0"/>
      </c:catAx>
    </c:plotArea>
    <c:legend>
      <c:legendPos val="b"/>
      <c:overlay val="0"/>
      <c:txPr>
        <a:bodyPr/>
        <a:lstStyle/>
        <a:p>
          <a:pPr>
            <a:defRPr b="1"/>
          </a:pPr>
          <a:endParaRPr lang="en-US"/>
        </a:p>
      </c:txPr>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974438312512986E-2"/>
          <c:y val="8.253605352424824E-2"/>
          <c:w val="0.92755914748193136"/>
          <c:h val="0.80115817799439026"/>
        </c:manualLayout>
      </c:layout>
      <c:barChart>
        <c:barDir val="bar"/>
        <c:grouping val="stacked"/>
        <c:varyColors val="0"/>
        <c:ser>
          <c:idx val="0"/>
          <c:order val="0"/>
          <c:tx>
            <c:strRef>
              <c:f>Gantt!$G$4</c:f>
              <c:strCache>
                <c:ptCount val="1"/>
                <c:pt idx="0">
                  <c:v>Fecha de Inicio</c:v>
                </c:pt>
              </c:strCache>
            </c:strRef>
          </c:tx>
          <c:spPr>
            <a:noFill/>
            <a:ln>
              <a:noFill/>
            </a:ln>
            <a:effectLst/>
          </c:spPr>
          <c:invertIfNegative val="0"/>
          <c:cat>
            <c:strRef>
              <c:f>Gantt!$F$5:$F$19</c:f>
              <c:strCache>
                <c:ptCount val="15"/>
                <c:pt idx="0">
                  <c:v>Fase 1</c:v>
                </c:pt>
                <c:pt idx="1">
                  <c:v>Fase 2</c:v>
                </c:pt>
                <c:pt idx="2">
                  <c:v>Fase 3</c:v>
                </c:pt>
                <c:pt idx="3">
                  <c:v>Fase 4</c:v>
                </c:pt>
                <c:pt idx="4">
                  <c:v>Fase 5</c:v>
                </c:pt>
                <c:pt idx="5">
                  <c:v>Fase 6</c:v>
                </c:pt>
                <c:pt idx="6">
                  <c:v>Fase 7</c:v>
                </c:pt>
                <c:pt idx="7">
                  <c:v>Fase 8</c:v>
                </c:pt>
                <c:pt idx="8">
                  <c:v>Fase 9</c:v>
                </c:pt>
                <c:pt idx="9">
                  <c:v>Fase 10</c:v>
                </c:pt>
                <c:pt idx="10">
                  <c:v>Fase 11</c:v>
                </c:pt>
                <c:pt idx="11">
                  <c:v>Fase 12</c:v>
                </c:pt>
                <c:pt idx="12">
                  <c:v>Fase 13</c:v>
                </c:pt>
                <c:pt idx="13">
                  <c:v>Fase 14</c:v>
                </c:pt>
                <c:pt idx="14">
                  <c:v>Fase 15</c:v>
                </c:pt>
              </c:strCache>
            </c:strRef>
          </c:cat>
          <c:val>
            <c:numRef>
              <c:f>Gantt!$G$5:$G$19</c:f>
              <c:numCache>
                <c:formatCode>m/d/yyyy</c:formatCode>
                <c:ptCount val="15"/>
                <c:pt idx="0">
                  <c:v>40128</c:v>
                </c:pt>
                <c:pt idx="1">
                  <c:v>40134</c:v>
                </c:pt>
                <c:pt idx="2">
                  <c:v>40138</c:v>
                </c:pt>
                <c:pt idx="3">
                  <c:v>40143</c:v>
                </c:pt>
                <c:pt idx="4">
                  <c:v>40149</c:v>
                </c:pt>
                <c:pt idx="5">
                  <c:v>40156</c:v>
                </c:pt>
                <c:pt idx="6">
                  <c:v>40164</c:v>
                </c:pt>
                <c:pt idx="7">
                  <c:v>40167</c:v>
                </c:pt>
                <c:pt idx="8">
                  <c:v>40169</c:v>
                </c:pt>
                <c:pt idx="9">
                  <c:v>40171</c:v>
                </c:pt>
                <c:pt idx="10">
                  <c:v>40178</c:v>
                </c:pt>
                <c:pt idx="11">
                  <c:v>40185</c:v>
                </c:pt>
                <c:pt idx="12">
                  <c:v>40189</c:v>
                </c:pt>
                <c:pt idx="13">
                  <c:v>40193</c:v>
                </c:pt>
                <c:pt idx="14">
                  <c:v>40200</c:v>
                </c:pt>
              </c:numCache>
            </c:numRef>
          </c:val>
          <c:extLst>
            <c:ext xmlns:c16="http://schemas.microsoft.com/office/drawing/2014/chart" uri="{C3380CC4-5D6E-409C-BE32-E72D297353CC}">
              <c16:uniqueId val="{00000000-062C-1B48-A08A-FA0507CFC3E9}"/>
            </c:ext>
          </c:extLst>
        </c:ser>
        <c:ser>
          <c:idx val="1"/>
          <c:order val="1"/>
          <c:tx>
            <c:strRef>
              <c:f>Gantt!$K$4</c:f>
              <c:strCache>
                <c:ptCount val="1"/>
                <c:pt idx="0">
                  <c:v>Días completados</c:v>
                </c:pt>
              </c:strCache>
            </c:strRef>
          </c:tx>
          <c:spPr>
            <a:solidFill>
              <a:schemeClr val="accent5"/>
            </a:solidFill>
            <a:ln>
              <a:noFill/>
            </a:ln>
            <a:effectLst/>
            <a:scene3d>
              <a:camera prst="orthographicFront"/>
              <a:lightRig rig="threePt" dir="t"/>
            </a:scene3d>
            <a:sp3d/>
          </c:spPr>
          <c:invertIfNegative val="0"/>
          <c:val>
            <c:numRef>
              <c:f>Gantt!$K$5:$K$19</c:f>
              <c:numCache>
                <c:formatCode>General</c:formatCode>
                <c:ptCount val="15"/>
                <c:pt idx="0">
                  <c:v>4</c:v>
                </c:pt>
                <c:pt idx="1">
                  <c:v>3</c:v>
                </c:pt>
                <c:pt idx="2">
                  <c:v>4</c:v>
                </c:pt>
                <c:pt idx="3">
                  <c:v>2</c:v>
                </c:pt>
                <c:pt idx="4">
                  <c:v>6</c:v>
                </c:pt>
                <c:pt idx="5">
                  <c:v>7</c:v>
                </c:pt>
                <c:pt idx="6">
                  <c:v>2</c:v>
                </c:pt>
                <c:pt idx="7">
                  <c:v>1</c:v>
                </c:pt>
                <c:pt idx="8">
                  <c:v>1</c:v>
                </c:pt>
                <c:pt idx="9">
                  <c:v>5</c:v>
                </c:pt>
                <c:pt idx="10">
                  <c:v>5</c:v>
                </c:pt>
                <c:pt idx="11">
                  <c:v>2</c:v>
                </c:pt>
                <c:pt idx="12">
                  <c:v>2</c:v>
                </c:pt>
                <c:pt idx="13">
                  <c:v>6</c:v>
                </c:pt>
                <c:pt idx="14">
                  <c:v>7</c:v>
                </c:pt>
              </c:numCache>
            </c:numRef>
          </c:val>
          <c:extLst>
            <c:ext xmlns:c16="http://schemas.microsoft.com/office/drawing/2014/chart" uri="{C3380CC4-5D6E-409C-BE32-E72D297353CC}">
              <c16:uniqueId val="{00000001-062C-1B48-A08A-FA0507CFC3E9}"/>
            </c:ext>
          </c:extLst>
        </c:ser>
        <c:ser>
          <c:idx val="2"/>
          <c:order val="2"/>
          <c:tx>
            <c:strRef>
              <c:f>Gantt!$L$4</c:f>
              <c:strCache>
                <c:ptCount val="1"/>
                <c:pt idx="0">
                  <c:v>Días para finalizar</c:v>
                </c:pt>
              </c:strCache>
            </c:strRef>
          </c:tx>
          <c:spPr>
            <a:solidFill>
              <a:srgbClr val="00B050"/>
            </a:solidFill>
            <a:ln>
              <a:noFill/>
            </a:ln>
            <a:effectLst/>
            <a:scene3d>
              <a:camera prst="orthographicFront"/>
              <a:lightRig rig="threePt" dir="t"/>
            </a:scene3d>
            <a:sp3d prstMaterial="matte"/>
          </c:spPr>
          <c:invertIfNegative val="0"/>
          <c:val>
            <c:numRef>
              <c:f>Gantt!$L$5:$L$19</c:f>
              <c:numCache>
                <c:formatCode>General</c:formatCode>
                <c:ptCount val="15"/>
                <c:pt idx="0">
                  <c:v>1</c:v>
                </c:pt>
                <c:pt idx="1">
                  <c:v>0</c:v>
                </c:pt>
                <c:pt idx="2">
                  <c:v>0</c:v>
                </c:pt>
                <c:pt idx="3">
                  <c:v>3</c:v>
                </c:pt>
                <c:pt idx="4">
                  <c:v>0</c:v>
                </c:pt>
                <c:pt idx="5">
                  <c:v>0</c:v>
                </c:pt>
                <c:pt idx="6">
                  <c:v>0</c:v>
                </c:pt>
                <c:pt idx="7">
                  <c:v>0</c:v>
                </c:pt>
                <c:pt idx="8">
                  <c:v>0</c:v>
                </c:pt>
                <c:pt idx="9">
                  <c:v>1</c:v>
                </c:pt>
                <c:pt idx="10">
                  <c:v>1</c:v>
                </c:pt>
                <c:pt idx="11">
                  <c:v>1</c:v>
                </c:pt>
                <c:pt idx="12">
                  <c:v>1</c:v>
                </c:pt>
                <c:pt idx="13">
                  <c:v>0</c:v>
                </c:pt>
                <c:pt idx="14">
                  <c:v>0</c:v>
                </c:pt>
              </c:numCache>
            </c:numRef>
          </c:val>
          <c:extLst>
            <c:ext xmlns:c16="http://schemas.microsoft.com/office/drawing/2014/chart" uri="{C3380CC4-5D6E-409C-BE32-E72D297353CC}">
              <c16:uniqueId val="{00000002-062C-1B48-A08A-FA0507CFC3E9}"/>
            </c:ext>
          </c:extLst>
        </c:ser>
        <c:dLbls>
          <c:showLegendKey val="0"/>
          <c:showVal val="0"/>
          <c:showCatName val="0"/>
          <c:showSerName val="0"/>
          <c:showPercent val="0"/>
          <c:showBubbleSize val="0"/>
        </c:dLbls>
        <c:gapWidth val="76"/>
        <c:overlap val="100"/>
        <c:axId val="128788352"/>
        <c:axId val="128789888"/>
      </c:barChart>
      <c:catAx>
        <c:axId val="128788352"/>
        <c:scaling>
          <c:orientation val="maxMin"/>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w="9525" cap="flat" cmpd="sng" algn="ctr">
            <a:solidFill>
              <a:schemeClr val="bg1"/>
            </a:solidFill>
            <a:round/>
          </a:ln>
          <a:effectLst>
            <a:outerShdw blurRad="50800" dist="50800" dir="5400000" sx="10000" sy="10000" algn="ctr" rotWithShape="0">
              <a:schemeClr val="bg2">
                <a:alpha val="59000"/>
              </a:schemeClr>
            </a:outerShdw>
          </a:effectLst>
        </c:spPr>
        <c:txPr>
          <a:bodyPr rot="-60000000" spcFirstLastPara="1" vertOverflow="ellipsis" vert="horz" wrap="square" anchor="ctr" anchorCtr="1"/>
          <a:lstStyle/>
          <a:p>
            <a:pPr>
              <a:defRPr sz="1400" b="0" i="0" u="none" strike="noStrike" kern="1200" baseline="0">
                <a:ln>
                  <a:noFill/>
                </a:ln>
                <a:solidFill>
                  <a:schemeClr val="tx1">
                    <a:lumMod val="65000"/>
                    <a:lumOff val="35000"/>
                  </a:schemeClr>
                </a:solidFill>
                <a:latin typeface="+mn-lt"/>
                <a:ea typeface="+mn-ea"/>
                <a:cs typeface="+mn-cs"/>
              </a:defRPr>
            </a:pPr>
            <a:endParaRPr lang="en-US"/>
          </a:p>
        </c:txPr>
        <c:crossAx val="128789888"/>
        <c:crosses val="autoZero"/>
        <c:auto val="1"/>
        <c:lblAlgn val="ctr"/>
        <c:lblOffset val="100"/>
        <c:noMultiLvlLbl val="0"/>
      </c:catAx>
      <c:valAx>
        <c:axId val="128789888"/>
        <c:scaling>
          <c:orientation val="minMax"/>
          <c:min val="40128"/>
        </c:scaling>
        <c:delete val="0"/>
        <c:axPos val="t"/>
        <c:majorGridlines>
          <c:spPr>
            <a:ln w="9525" cap="flat" cmpd="sng" algn="ctr">
              <a:solidFill>
                <a:schemeClr val="bg1"/>
              </a:solidFill>
              <a:round/>
            </a:ln>
            <a:effectLst/>
          </c:spPr>
        </c:majorGridlines>
        <c:numFmt formatCode="d/m/yy" sourceLinked="0"/>
        <c:majorTickMark val="none"/>
        <c:minorTickMark val="none"/>
        <c:tickLblPos val="nextTo"/>
        <c:spPr>
          <a:noFill/>
          <a:ln>
            <a:solidFill>
              <a:schemeClr val="bg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8788352"/>
        <c:crosses val="autoZero"/>
        <c:crossBetween val="between"/>
        <c:majorUnit val="4"/>
        <c:minorUnit val="1"/>
      </c:valAx>
      <c:spPr>
        <a:solidFill>
          <a:schemeClr val="bg1">
            <a:lumMod val="85000"/>
          </a:schemeClr>
        </a:solidFill>
        <a:ln>
          <a:solidFill>
            <a:schemeClr val="bg1">
              <a:alpha val="98000"/>
            </a:schemeClr>
          </a:solidFill>
        </a:ln>
        <a:effectLst/>
      </c:spPr>
    </c:plotArea>
    <c:legend>
      <c:legendPos val="b"/>
      <c:legendEntry>
        <c:idx val="0"/>
        <c:delete val="1"/>
      </c:legendEntry>
      <c:layout>
        <c:manualLayout>
          <c:xMode val="edge"/>
          <c:yMode val="edge"/>
          <c:x val="0.33068099845290599"/>
          <c:y val="0.92209291008618388"/>
          <c:w val="0.2541805250883229"/>
          <c:h val="6.5505363827908308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s-MX"/>
              <a:t>INDICE DE PRODUCTIVIDAD</a:t>
            </a:r>
          </a:p>
        </c:rich>
      </c:tx>
      <c:overlay val="0"/>
    </c:title>
    <c:autoTitleDeleted val="0"/>
    <c:plotArea>
      <c:layout/>
      <c:barChart>
        <c:barDir val="col"/>
        <c:grouping val="clustered"/>
        <c:varyColors val="0"/>
        <c:ser>
          <c:idx val="0"/>
          <c:order val="0"/>
          <c:tx>
            <c:strRef>
              <c:f>'Indice productividad'!$D$3</c:f>
              <c:strCache>
                <c:ptCount val="1"/>
                <c:pt idx="0">
                  <c:v>PERIODOS</c:v>
                </c:pt>
              </c:strCache>
            </c:strRef>
          </c:tx>
          <c:invertIfNegative val="0"/>
          <c:dLbls>
            <c:delete val="1"/>
          </c:dLbls>
          <c:cat>
            <c:strRef>
              <c:f>'Indice productividad'!$D$4:$O$4</c:f>
              <c:strCache>
                <c:ptCount val="11"/>
                <c:pt idx="0">
                  <c:v>A</c:v>
                </c:pt>
                <c:pt idx="2">
                  <c:v>B</c:v>
                </c:pt>
                <c:pt idx="4">
                  <c:v>C</c:v>
                </c:pt>
                <c:pt idx="6">
                  <c:v>D</c:v>
                </c:pt>
                <c:pt idx="8">
                  <c:v>E</c:v>
                </c:pt>
                <c:pt idx="10">
                  <c:v>F</c:v>
                </c:pt>
              </c:strCache>
            </c:strRef>
          </c:cat>
          <c:val>
            <c:numRef>
              <c:f>'Indice productividad'!$D$20:$O$20</c:f>
              <c:numCache>
                <c:formatCode>0.00</c:formatCode>
                <c:ptCount val="12"/>
                <c:pt idx="0">
                  <c:v>1.3114754098360655</c:v>
                </c:pt>
                <c:pt idx="2">
                  <c:v>1.9672131147540983</c:v>
                </c:pt>
                <c:pt idx="4">
                  <c:v>2.2295081967213113</c:v>
                </c:pt>
                <c:pt idx="6">
                  <c:v>1.5737704918032787</c:v>
                </c:pt>
                <c:pt idx="8">
                  <c:v>1.3114754098360655</c:v>
                </c:pt>
                <c:pt idx="10">
                  <c:v>1.180327868852459</c:v>
                </c:pt>
              </c:numCache>
            </c:numRef>
          </c:val>
          <c:extLst>
            <c:ext xmlns:c16="http://schemas.microsoft.com/office/drawing/2014/chart" uri="{C3380CC4-5D6E-409C-BE32-E72D297353CC}">
              <c16:uniqueId val="{00000000-5CD3-5949-A40B-101C2ABD49B4}"/>
            </c:ext>
          </c:extLst>
        </c:ser>
        <c:dLbls>
          <c:dLblPos val="outEnd"/>
          <c:showLegendKey val="0"/>
          <c:showVal val="1"/>
          <c:showCatName val="0"/>
          <c:showSerName val="0"/>
          <c:showPercent val="0"/>
          <c:showBubbleSize val="0"/>
        </c:dLbls>
        <c:gapWidth val="150"/>
        <c:axId val="128868736"/>
        <c:axId val="128870272"/>
      </c:barChart>
      <c:catAx>
        <c:axId val="128868736"/>
        <c:scaling>
          <c:orientation val="minMax"/>
        </c:scaling>
        <c:delete val="0"/>
        <c:axPos val="b"/>
        <c:numFmt formatCode="General" sourceLinked="0"/>
        <c:majorTickMark val="none"/>
        <c:minorTickMark val="none"/>
        <c:tickLblPos val="nextTo"/>
        <c:crossAx val="128870272"/>
        <c:crosses val="autoZero"/>
        <c:auto val="1"/>
        <c:lblAlgn val="ctr"/>
        <c:lblOffset val="100"/>
        <c:noMultiLvlLbl val="0"/>
      </c:catAx>
      <c:valAx>
        <c:axId val="128870272"/>
        <c:scaling>
          <c:orientation val="minMax"/>
        </c:scaling>
        <c:delete val="0"/>
        <c:axPos val="l"/>
        <c:majorGridlines/>
        <c:numFmt formatCode="0.00" sourceLinked="1"/>
        <c:majorTickMark val="none"/>
        <c:minorTickMark val="none"/>
        <c:tickLblPos val="nextTo"/>
        <c:crossAx val="128868736"/>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MX"/>
              <a:t>GRAFICO</a:t>
            </a:r>
            <a:r>
              <a:rPr lang="es-MX" baseline="0"/>
              <a:t> DE CONTROL DE VENTAS</a:t>
            </a:r>
            <a:endParaRPr lang="es-MX"/>
          </a:p>
        </c:rich>
      </c:tx>
      <c:overlay val="0"/>
    </c:title>
    <c:autoTitleDeleted val="0"/>
    <c:plotArea>
      <c:layout/>
      <c:lineChart>
        <c:grouping val="standard"/>
        <c:varyColors val="0"/>
        <c:ser>
          <c:idx val="0"/>
          <c:order val="0"/>
          <c:tx>
            <c:strRef>
              <c:f>'Grafico control ventas'!$B$2</c:f>
              <c:strCache>
                <c:ptCount val="1"/>
                <c:pt idx="0">
                  <c:v>VENTAS</c:v>
                </c:pt>
              </c:strCache>
            </c:strRef>
          </c:tx>
          <c:marker>
            <c:symbol val="none"/>
          </c:marke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'Grafico control ventas'!$A$3:$A$10</c:f>
              <c:strCache>
                <c:ptCount val="8"/>
                <c:pt idx="0">
                  <c:v>NICOLAS</c:v>
                </c:pt>
                <c:pt idx="1">
                  <c:v>JORGE</c:v>
                </c:pt>
                <c:pt idx="2">
                  <c:v>MILAGROS</c:v>
                </c:pt>
                <c:pt idx="3">
                  <c:v>HARRY</c:v>
                </c:pt>
                <c:pt idx="4">
                  <c:v>ELIOT</c:v>
                </c:pt>
                <c:pt idx="5">
                  <c:v>ANIBAL</c:v>
                </c:pt>
                <c:pt idx="6">
                  <c:v>KIKE</c:v>
                </c:pt>
                <c:pt idx="7">
                  <c:v>LOURDES</c:v>
                </c:pt>
              </c:strCache>
            </c:strRef>
          </c:cat>
          <c:val>
            <c:numRef>
              <c:f>'Grafico control ventas'!$B$3:$B$10</c:f>
              <c:numCache>
                <c:formatCode>General</c:formatCode>
                <c:ptCount val="8"/>
                <c:pt idx="0">
                  <c:v>19</c:v>
                </c:pt>
                <c:pt idx="1">
                  <c:v>20</c:v>
                </c:pt>
                <c:pt idx="2">
                  <c:v>23</c:v>
                </c:pt>
                <c:pt idx="3">
                  <c:v>11</c:v>
                </c:pt>
                <c:pt idx="4">
                  <c:v>10</c:v>
                </c:pt>
                <c:pt idx="5">
                  <c:v>20</c:v>
                </c:pt>
                <c:pt idx="6">
                  <c:v>17</c:v>
                </c:pt>
                <c:pt idx="7">
                  <c:v>9</c:v>
                </c:pt>
              </c:numCache>
            </c:numRef>
          </c:val>
          <c:smooth val="0"/>
          <c:extLst>
            <c:ext xmlns:c16="http://schemas.microsoft.com/office/drawing/2014/chart" uri="{C3380CC4-5D6E-409C-BE32-E72D297353CC}">
              <c16:uniqueId val="{00000000-47D9-AE4B-ADA5-CC8E106D4074}"/>
            </c:ext>
          </c:extLst>
        </c:ser>
        <c:ser>
          <c:idx val="1"/>
          <c:order val="1"/>
          <c:tx>
            <c:strRef>
              <c:f>'Grafico control ventas'!$C$2</c:f>
              <c:strCache>
                <c:ptCount val="1"/>
                <c:pt idx="0">
                  <c:v>PROMEDIO</c:v>
                </c:pt>
              </c:strCache>
            </c:strRef>
          </c:tx>
          <c:marker>
            <c:symbol val="none"/>
          </c:marke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'Grafico control ventas'!$A$3:$A$10</c:f>
              <c:strCache>
                <c:ptCount val="8"/>
                <c:pt idx="0">
                  <c:v>NICOLAS</c:v>
                </c:pt>
                <c:pt idx="1">
                  <c:v>JORGE</c:v>
                </c:pt>
                <c:pt idx="2">
                  <c:v>MILAGROS</c:v>
                </c:pt>
                <c:pt idx="3">
                  <c:v>HARRY</c:v>
                </c:pt>
                <c:pt idx="4">
                  <c:v>ELIOT</c:v>
                </c:pt>
                <c:pt idx="5">
                  <c:v>ANIBAL</c:v>
                </c:pt>
                <c:pt idx="6">
                  <c:v>KIKE</c:v>
                </c:pt>
                <c:pt idx="7">
                  <c:v>LOURDES</c:v>
                </c:pt>
              </c:strCache>
            </c:strRef>
          </c:cat>
          <c:val>
            <c:numRef>
              <c:f>'Grafico control ventas'!$C$3:$C$10</c:f>
              <c:numCache>
                <c:formatCode>General</c:formatCode>
                <c:ptCount val="8"/>
                <c:pt idx="0">
                  <c:v>16</c:v>
                </c:pt>
                <c:pt idx="1">
                  <c:v>16</c:v>
                </c:pt>
                <c:pt idx="2">
                  <c:v>16</c:v>
                </c:pt>
                <c:pt idx="3">
                  <c:v>16</c:v>
                </c:pt>
                <c:pt idx="4">
                  <c:v>16</c:v>
                </c:pt>
                <c:pt idx="5">
                  <c:v>16</c:v>
                </c:pt>
                <c:pt idx="6">
                  <c:v>16</c:v>
                </c:pt>
                <c:pt idx="7">
                  <c:v>16</c:v>
                </c:pt>
              </c:numCache>
            </c:numRef>
          </c:val>
          <c:smooth val="0"/>
          <c:extLst>
            <c:ext xmlns:c16="http://schemas.microsoft.com/office/drawing/2014/chart" uri="{C3380CC4-5D6E-409C-BE32-E72D297353CC}">
              <c16:uniqueId val="{00000001-47D9-AE4B-ADA5-CC8E106D4074}"/>
            </c:ext>
          </c:extLst>
        </c:ser>
        <c:ser>
          <c:idx val="2"/>
          <c:order val="2"/>
          <c:tx>
            <c:strRef>
              <c:f>'Grafico control ventas'!$D$2</c:f>
              <c:strCache>
                <c:ptCount val="1"/>
                <c:pt idx="0">
                  <c:v>LSC</c:v>
                </c:pt>
              </c:strCache>
            </c:strRef>
          </c:tx>
          <c:marker>
            <c:symbol val="none"/>
          </c:marke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'Grafico control ventas'!$A$3:$A$10</c:f>
              <c:strCache>
                <c:ptCount val="8"/>
                <c:pt idx="0">
                  <c:v>NICOLAS</c:v>
                </c:pt>
                <c:pt idx="1">
                  <c:v>JORGE</c:v>
                </c:pt>
                <c:pt idx="2">
                  <c:v>MILAGROS</c:v>
                </c:pt>
                <c:pt idx="3">
                  <c:v>HARRY</c:v>
                </c:pt>
                <c:pt idx="4">
                  <c:v>ELIOT</c:v>
                </c:pt>
                <c:pt idx="5">
                  <c:v>ANIBAL</c:v>
                </c:pt>
                <c:pt idx="6">
                  <c:v>KIKE</c:v>
                </c:pt>
                <c:pt idx="7">
                  <c:v>LOURDES</c:v>
                </c:pt>
              </c:strCache>
            </c:strRef>
          </c:cat>
          <c:val>
            <c:numRef>
              <c:f>'Grafico control ventas'!$D$3:$D$10</c:f>
              <c:numCache>
                <c:formatCode>General</c:formatCode>
                <c:ptCount val="8"/>
                <c:pt idx="0">
                  <c:v>21.48190475661352</c:v>
                </c:pt>
                <c:pt idx="1">
                  <c:v>21.48190475661352</c:v>
                </c:pt>
                <c:pt idx="2">
                  <c:v>21.48190475661352</c:v>
                </c:pt>
                <c:pt idx="3">
                  <c:v>21.48190475661352</c:v>
                </c:pt>
                <c:pt idx="4">
                  <c:v>21.48190475661352</c:v>
                </c:pt>
                <c:pt idx="5">
                  <c:v>21.48190475661352</c:v>
                </c:pt>
                <c:pt idx="6">
                  <c:v>21.48190475661352</c:v>
                </c:pt>
                <c:pt idx="7">
                  <c:v>21.48190475661352</c:v>
                </c:pt>
              </c:numCache>
            </c:numRef>
          </c:val>
          <c:smooth val="0"/>
          <c:extLst>
            <c:ext xmlns:c16="http://schemas.microsoft.com/office/drawing/2014/chart" uri="{C3380CC4-5D6E-409C-BE32-E72D297353CC}">
              <c16:uniqueId val="{00000002-47D9-AE4B-ADA5-CC8E106D4074}"/>
            </c:ext>
          </c:extLst>
        </c:ser>
        <c:ser>
          <c:idx val="3"/>
          <c:order val="3"/>
          <c:tx>
            <c:strRef>
              <c:f>'Grafico control ventas'!$E$2</c:f>
              <c:strCache>
                <c:ptCount val="1"/>
                <c:pt idx="0">
                  <c:v>LIC</c:v>
                </c:pt>
              </c:strCache>
            </c:strRef>
          </c:tx>
          <c:marker>
            <c:symbol val="none"/>
          </c:marke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'Grafico control ventas'!$A$3:$A$10</c:f>
              <c:strCache>
                <c:ptCount val="8"/>
                <c:pt idx="0">
                  <c:v>NICOLAS</c:v>
                </c:pt>
                <c:pt idx="1">
                  <c:v>JORGE</c:v>
                </c:pt>
                <c:pt idx="2">
                  <c:v>MILAGROS</c:v>
                </c:pt>
                <c:pt idx="3">
                  <c:v>HARRY</c:v>
                </c:pt>
                <c:pt idx="4">
                  <c:v>ELIOT</c:v>
                </c:pt>
                <c:pt idx="5">
                  <c:v>ANIBAL</c:v>
                </c:pt>
                <c:pt idx="6">
                  <c:v>KIKE</c:v>
                </c:pt>
                <c:pt idx="7">
                  <c:v>LOURDES</c:v>
                </c:pt>
              </c:strCache>
            </c:strRef>
          </c:cat>
          <c:val>
            <c:numRef>
              <c:f>'Grafico control ventas'!$E$3:$E$10</c:f>
              <c:numCache>
                <c:formatCode>General</c:formatCode>
                <c:ptCount val="8"/>
                <c:pt idx="0">
                  <c:v>10.76809524338648</c:v>
                </c:pt>
                <c:pt idx="1">
                  <c:v>10.76809524338648</c:v>
                </c:pt>
                <c:pt idx="2">
                  <c:v>10.76809524338648</c:v>
                </c:pt>
                <c:pt idx="3">
                  <c:v>10.76809524338648</c:v>
                </c:pt>
                <c:pt idx="4">
                  <c:v>10.76809524338648</c:v>
                </c:pt>
                <c:pt idx="5">
                  <c:v>10.76809524338648</c:v>
                </c:pt>
                <c:pt idx="6">
                  <c:v>10.76809524338648</c:v>
                </c:pt>
                <c:pt idx="7">
                  <c:v>10.76809524338648</c:v>
                </c:pt>
              </c:numCache>
            </c:numRef>
          </c:val>
          <c:smooth val="0"/>
          <c:extLst>
            <c:ext xmlns:c16="http://schemas.microsoft.com/office/drawing/2014/chart" uri="{C3380CC4-5D6E-409C-BE32-E72D297353CC}">
              <c16:uniqueId val="{00000003-47D9-AE4B-ADA5-CC8E106D4074}"/>
            </c:ext>
          </c:extLst>
        </c:ser>
        <c:dLbls>
          <c:showLegendKey val="0"/>
          <c:showVal val="1"/>
          <c:showCatName val="0"/>
          <c:showSerName val="0"/>
          <c:showPercent val="0"/>
          <c:showBubbleSize val="0"/>
        </c:dLbls>
        <c:smooth val="0"/>
        <c:axId val="128027648"/>
        <c:axId val="127927040"/>
      </c:lineChart>
      <c:catAx>
        <c:axId val="128027648"/>
        <c:scaling>
          <c:orientation val="minMax"/>
        </c:scaling>
        <c:delete val="0"/>
        <c:axPos val="b"/>
        <c:numFmt formatCode="General" sourceLinked="0"/>
        <c:majorTickMark val="none"/>
        <c:minorTickMark val="none"/>
        <c:tickLblPos val="nextTo"/>
        <c:crossAx val="127927040"/>
        <c:crosses val="autoZero"/>
        <c:auto val="1"/>
        <c:lblAlgn val="ctr"/>
        <c:lblOffset val="100"/>
        <c:noMultiLvlLbl val="0"/>
      </c:catAx>
      <c:valAx>
        <c:axId val="127927040"/>
        <c:scaling>
          <c:orientation val="minMax"/>
        </c:scaling>
        <c:delete val="1"/>
        <c:axPos val="l"/>
        <c:numFmt formatCode="General" sourceLinked="1"/>
        <c:majorTickMark val="out"/>
        <c:minorTickMark val="none"/>
        <c:tickLblPos val="nextTo"/>
        <c:crossAx val="128027648"/>
        <c:crosses val="autoZero"/>
        <c:crossBetween val="between"/>
      </c:valAx>
    </c:plotArea>
    <c:legend>
      <c:legendPos val="t"/>
      <c:overlay val="0"/>
    </c:legend>
    <c:plotVisOnly val="1"/>
    <c:dispBlanksAs val="gap"/>
    <c:showDLblsOverMax val="0"/>
  </c:chart>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col"/>
        <c:grouping val="stacked"/>
        <c:varyColors val="0"/>
        <c:ser>
          <c:idx val="0"/>
          <c:order val="0"/>
          <c:tx>
            <c:strRef>
              <c:f>'Grafico control ventas'!$B$2</c:f>
              <c:strCache>
                <c:ptCount val="1"/>
                <c:pt idx="0">
                  <c:v>VENTAS</c:v>
                </c:pt>
              </c:strCache>
            </c:strRef>
          </c:tx>
          <c:invertIfNegative val="0"/>
          <c:cat>
            <c:strRef>
              <c:f>'Grafico control ventas'!$A$3:$A$10</c:f>
              <c:strCache>
                <c:ptCount val="8"/>
                <c:pt idx="0">
                  <c:v>NICOLAS</c:v>
                </c:pt>
                <c:pt idx="1">
                  <c:v>JORGE</c:v>
                </c:pt>
                <c:pt idx="2">
                  <c:v>MILAGROS</c:v>
                </c:pt>
                <c:pt idx="3">
                  <c:v>HARRY</c:v>
                </c:pt>
                <c:pt idx="4">
                  <c:v>ELIOT</c:v>
                </c:pt>
                <c:pt idx="5">
                  <c:v>ANIBAL</c:v>
                </c:pt>
                <c:pt idx="6">
                  <c:v>KIKE</c:v>
                </c:pt>
                <c:pt idx="7">
                  <c:v>LOURDES</c:v>
                </c:pt>
              </c:strCache>
            </c:strRef>
          </c:cat>
          <c:val>
            <c:numRef>
              <c:f>'Grafico control ventas'!$B$3:$B$10</c:f>
              <c:numCache>
                <c:formatCode>General</c:formatCode>
                <c:ptCount val="8"/>
                <c:pt idx="0">
                  <c:v>19</c:v>
                </c:pt>
                <c:pt idx="1">
                  <c:v>20</c:v>
                </c:pt>
                <c:pt idx="2">
                  <c:v>23</c:v>
                </c:pt>
                <c:pt idx="3">
                  <c:v>11</c:v>
                </c:pt>
                <c:pt idx="4">
                  <c:v>10</c:v>
                </c:pt>
                <c:pt idx="5">
                  <c:v>20</c:v>
                </c:pt>
                <c:pt idx="6">
                  <c:v>17</c:v>
                </c:pt>
                <c:pt idx="7">
                  <c:v>9</c:v>
                </c:pt>
              </c:numCache>
            </c:numRef>
          </c:val>
          <c:extLst>
            <c:ext xmlns:c16="http://schemas.microsoft.com/office/drawing/2014/chart" uri="{C3380CC4-5D6E-409C-BE32-E72D297353CC}">
              <c16:uniqueId val="{00000000-BD9F-944C-8E07-F88379847307}"/>
            </c:ext>
          </c:extLst>
        </c:ser>
        <c:dLbls>
          <c:showLegendKey val="0"/>
          <c:showVal val="0"/>
          <c:showCatName val="0"/>
          <c:showSerName val="0"/>
          <c:showPercent val="0"/>
          <c:showBubbleSize val="0"/>
        </c:dLbls>
        <c:gapWidth val="150"/>
        <c:overlap val="100"/>
        <c:axId val="127947520"/>
        <c:axId val="127949056"/>
      </c:barChart>
      <c:catAx>
        <c:axId val="127947520"/>
        <c:scaling>
          <c:orientation val="minMax"/>
        </c:scaling>
        <c:delete val="0"/>
        <c:axPos val="b"/>
        <c:numFmt formatCode="General" sourceLinked="0"/>
        <c:majorTickMark val="out"/>
        <c:minorTickMark val="none"/>
        <c:tickLblPos val="nextTo"/>
        <c:crossAx val="127949056"/>
        <c:crosses val="autoZero"/>
        <c:auto val="1"/>
        <c:lblAlgn val="ctr"/>
        <c:lblOffset val="100"/>
        <c:noMultiLvlLbl val="0"/>
      </c:catAx>
      <c:valAx>
        <c:axId val="127949056"/>
        <c:scaling>
          <c:orientation val="minMax"/>
        </c:scaling>
        <c:delete val="0"/>
        <c:axPos val="l"/>
        <c:majorGridlines/>
        <c:numFmt formatCode="General" sourceLinked="1"/>
        <c:majorTickMark val="out"/>
        <c:minorTickMark val="none"/>
        <c:tickLblPos val="nextTo"/>
        <c:crossAx val="127947520"/>
        <c:crosses val="autoZero"/>
        <c:crossBetween val="between"/>
      </c:valAx>
    </c:plotArea>
    <c:legend>
      <c:legendPos val="r"/>
      <c:overlay val="0"/>
    </c:legend>
    <c:plotVisOnly val="1"/>
    <c:dispBlanksAs val="gap"/>
    <c:showDLblsOverMax val="0"/>
  </c:chart>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smoothMarker"/>
        <c:varyColors val="0"/>
        <c:ser>
          <c:idx val="0"/>
          <c:order val="0"/>
          <c:tx>
            <c:v>Unidades - Turno Vs. Iteración</c:v>
          </c:tx>
          <c:xVal>
            <c:numRef>
              <c:f>('Balanceo lineas produccion'!$D$27,'Balanceo lineas produccion'!$G$27,'Balanceo lineas produccion'!$I$27,'Balanceo lineas produccion'!$K$27,'Balanceo lineas produccion'!$M$27,'Balanceo lineas produccion'!$O$27,'Balanceo lineas produccion'!$Q$27,'Balanceo lineas produccion'!$S$27,'Balanceo lineas produccion'!$U$27,'Balanceo lineas produccion'!$W$27,'Balanceo lineas produccion'!$Y$27,'Balanceo lineas produccion'!$AA$27,'Balanceo lineas produccion'!$AC$27,'Balanceo lineas produccion'!$AE$27)</c:f>
              <c:numCache>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xVal>
          <c:yVal>
            <c:numRef>
              <c:f>('Balanceo lineas produccion'!$D$24,'Balanceo lineas produccion'!$G$24,'Balanceo lineas produccion'!$I$24,'Balanceo lineas produccion'!$K$24,'Balanceo lineas produccion'!$M$24,'Balanceo lineas produccion'!$O$24,'Balanceo lineas produccion'!$Q$24,'Balanceo lineas produccion'!$S$24,'Balanceo lineas produccion'!$U$24,'Balanceo lineas produccion'!$W$24,'Balanceo lineas produccion'!$Y$24,'Balanceo lineas produccion'!$AA$24,'Balanceo lineas produccion'!$AC$24,'Balanceo lineas produccion'!$AE$24)</c:f>
              <c:numCache>
                <c:formatCode>0</c:formatCode>
                <c:ptCount val="14"/>
                <c:pt idx="0">
                  <c:v>60</c:v>
                </c:pt>
                <c:pt idx="1">
                  <c:v>216</c:v>
                </c:pt>
                <c:pt idx="2">
                  <c:v>288</c:v>
                </c:pt>
                <c:pt idx="3">
                  <c:v>432</c:v>
                </c:pt>
                <c:pt idx="4">
                  <c:v>576</c:v>
                </c:pt>
                <c:pt idx="5">
                  <c:v>648</c:v>
                </c:pt>
                <c:pt idx="6">
                  <c:v>720</c:v>
                </c:pt>
                <c:pt idx="7">
                  <c:v>864</c:v>
                </c:pt>
                <c:pt idx="8">
                  <c:v>1008</c:v>
                </c:pt>
                <c:pt idx="9">
                  <c:v>1080</c:v>
                </c:pt>
                <c:pt idx="10">
                  <c:v>1152</c:v>
                </c:pt>
                <c:pt idx="11">
                  <c:v>1296</c:v>
                </c:pt>
                <c:pt idx="12">
                  <c:v>1440</c:v>
                </c:pt>
                <c:pt idx="13">
                  <c:v>1512</c:v>
                </c:pt>
              </c:numCache>
            </c:numRef>
          </c:yVal>
          <c:smooth val="1"/>
          <c:extLst>
            <c:ext xmlns:c16="http://schemas.microsoft.com/office/drawing/2014/chart" uri="{C3380CC4-5D6E-409C-BE32-E72D297353CC}">
              <c16:uniqueId val="{00000000-7632-4DDA-A3E3-E2256152C28D}"/>
            </c:ext>
          </c:extLst>
        </c:ser>
        <c:dLbls>
          <c:showLegendKey val="0"/>
          <c:showVal val="0"/>
          <c:showCatName val="0"/>
          <c:showSerName val="0"/>
          <c:showPercent val="0"/>
          <c:showBubbleSize val="0"/>
        </c:dLbls>
        <c:axId val="128927232"/>
        <c:axId val="128928768"/>
      </c:scatterChart>
      <c:valAx>
        <c:axId val="128927232"/>
        <c:scaling>
          <c:orientation val="minMax"/>
          <c:max val="14"/>
          <c:min val="1"/>
        </c:scaling>
        <c:delete val="0"/>
        <c:axPos val="b"/>
        <c:majorGridlines/>
        <c:numFmt formatCode="General" sourceLinked="1"/>
        <c:majorTickMark val="out"/>
        <c:minorTickMark val="none"/>
        <c:tickLblPos val="nextTo"/>
        <c:crossAx val="128928768"/>
        <c:crosses val="autoZero"/>
        <c:crossBetween val="midCat"/>
        <c:majorUnit val="1"/>
      </c:valAx>
      <c:valAx>
        <c:axId val="128928768"/>
        <c:scaling>
          <c:orientation val="minMax"/>
        </c:scaling>
        <c:delete val="0"/>
        <c:axPos val="l"/>
        <c:majorGridlines/>
        <c:numFmt formatCode="0" sourceLinked="1"/>
        <c:majorTickMark val="out"/>
        <c:minorTickMark val="none"/>
        <c:tickLblPos val="nextTo"/>
        <c:crossAx val="128927232"/>
        <c:crosses val="autoZero"/>
        <c:crossBetween val="midCat"/>
      </c:valAx>
    </c:plotArea>
    <c:plotVisOnly val="1"/>
    <c:dispBlanksAs val="gap"/>
    <c:showDLblsOverMax val="0"/>
  </c:chart>
  <c:spPr>
    <a:ln>
      <a:noFill/>
    </a:ln>
  </c:spPr>
  <c:printSettings>
    <c:headerFooter/>
    <c:pageMargins b="0.75000000000000056" l="0.70000000000000051" r="0.70000000000000051" t="0.75000000000000056" header="0.30000000000000027" footer="0.30000000000000027"/>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Costo Unitario Vs. Número</a:t>
            </a:r>
            <a:r>
              <a:rPr lang="en-US" baseline="0"/>
              <a:t> de operarios</a:t>
            </a:r>
            <a:endParaRPr lang="en-US"/>
          </a:p>
        </c:rich>
      </c:tx>
      <c:overlay val="0"/>
    </c:title>
    <c:autoTitleDeleted val="0"/>
    <c:plotArea>
      <c:layout/>
      <c:scatterChart>
        <c:scatterStyle val="smoothMarker"/>
        <c:varyColors val="0"/>
        <c:ser>
          <c:idx val="0"/>
          <c:order val="0"/>
          <c:tx>
            <c:v>Costo Unitario Vs. Iteración</c:v>
          </c:tx>
          <c:xVal>
            <c:numRef>
              <c:f>('Balanceo lineas produccion'!$D$19,'Balanceo lineas produccion'!$G$19,'Balanceo lineas produccion'!$I$19,'Balanceo lineas produccion'!$K$19,'Balanceo lineas produccion'!$M$19,'Balanceo lineas produccion'!$O$19,'Balanceo lineas produccion'!$Q$19,'Balanceo lineas produccion'!$S$19,'Balanceo lineas produccion'!$U$19,'Balanceo lineas produccion'!$W$19,'Balanceo lineas produccion'!$Y$19,'Balanceo lineas produccion'!$AA$19,'Balanceo lineas produccion'!$AC$19,'Balanceo lineas produccion'!$AE$19)</c:f>
              <c:numCache>
                <c:formatCode>General</c:formatCode>
                <c:ptCount val="14"/>
                <c:pt idx="0">
                  <c:v>3</c:v>
                </c:pt>
                <c:pt idx="1">
                  <c:v>4</c:v>
                </c:pt>
                <c:pt idx="2">
                  <c:v>6</c:v>
                </c:pt>
                <c:pt idx="3">
                  <c:v>7</c:v>
                </c:pt>
                <c:pt idx="4">
                  <c:v>10</c:v>
                </c:pt>
                <c:pt idx="5">
                  <c:v>11</c:v>
                </c:pt>
                <c:pt idx="6">
                  <c:v>13</c:v>
                </c:pt>
                <c:pt idx="7">
                  <c:v>14</c:v>
                </c:pt>
                <c:pt idx="8">
                  <c:v>17</c:v>
                </c:pt>
                <c:pt idx="9">
                  <c:v>18</c:v>
                </c:pt>
                <c:pt idx="10">
                  <c:v>20</c:v>
                </c:pt>
                <c:pt idx="11">
                  <c:v>21</c:v>
                </c:pt>
                <c:pt idx="12">
                  <c:v>24</c:v>
                </c:pt>
                <c:pt idx="13">
                  <c:v>25</c:v>
                </c:pt>
              </c:numCache>
            </c:numRef>
          </c:xVal>
          <c:yVal>
            <c:numRef>
              <c:f>('Balanceo lineas produccion'!$D$26,'Balanceo lineas produccion'!$G$26,'Balanceo lineas produccion'!$I$26,'Balanceo lineas produccion'!$K$26,'Balanceo lineas produccion'!$M$26,'Balanceo lineas produccion'!$O$26,'Balanceo lineas produccion'!$Q$26,'Balanceo lineas produccion'!$S$26,'Balanceo lineas produccion'!$U$26,'Balanceo lineas produccion'!$W$26,'Balanceo lineas produccion'!$Y$26,'Balanceo lineas produccion'!$AA$26,'Balanceo lineas produccion'!$AC$26,'Balanceo lineas produccion'!$AE$26)</c:f>
              <c:numCache>
                <c:formatCode>"$"\ #,##0.00</c:formatCode>
                <c:ptCount val="14"/>
                <c:pt idx="0">
                  <c:v>10</c:v>
                </c:pt>
                <c:pt idx="1">
                  <c:v>3.7037037037037037</c:v>
                </c:pt>
                <c:pt idx="2">
                  <c:v>4.166666666666667</c:v>
                </c:pt>
                <c:pt idx="3">
                  <c:v>3.2407407407407409</c:v>
                </c:pt>
                <c:pt idx="4">
                  <c:v>3.4722222222222223</c:v>
                </c:pt>
                <c:pt idx="5">
                  <c:v>3.3950617283950617</c:v>
                </c:pt>
                <c:pt idx="6">
                  <c:v>3.6111111111111112</c:v>
                </c:pt>
                <c:pt idx="7">
                  <c:v>3.2407407407407409</c:v>
                </c:pt>
                <c:pt idx="8">
                  <c:v>3.373015873015873</c:v>
                </c:pt>
                <c:pt idx="9">
                  <c:v>3.3333333333333335</c:v>
                </c:pt>
                <c:pt idx="10">
                  <c:v>3.4722222222222223</c:v>
                </c:pt>
                <c:pt idx="11">
                  <c:v>3.2407407407407409</c:v>
                </c:pt>
                <c:pt idx="12">
                  <c:v>3.3333333333333335</c:v>
                </c:pt>
                <c:pt idx="13">
                  <c:v>3.306878306878307</c:v>
                </c:pt>
              </c:numCache>
            </c:numRef>
          </c:yVal>
          <c:smooth val="1"/>
          <c:extLst>
            <c:ext xmlns:c16="http://schemas.microsoft.com/office/drawing/2014/chart" uri="{C3380CC4-5D6E-409C-BE32-E72D297353CC}">
              <c16:uniqueId val="{00000000-3600-47FA-9F90-480A32C86E50}"/>
            </c:ext>
          </c:extLst>
        </c:ser>
        <c:ser>
          <c:idx val="1"/>
          <c:order val="1"/>
          <c:tx>
            <c:v>Menor Costo</c:v>
          </c:tx>
          <c:spPr>
            <a:ln>
              <a:solidFill>
                <a:schemeClr val="tx2">
                  <a:lumMod val="75000"/>
                </a:schemeClr>
              </a:solidFill>
            </a:ln>
          </c:spPr>
          <c:marker>
            <c:symbol val="circle"/>
            <c:size val="7"/>
            <c:spPr>
              <a:solidFill>
                <a:schemeClr val="bg1"/>
              </a:solidFill>
              <a:ln>
                <a:solidFill>
                  <a:schemeClr val="tx2">
                    <a:lumMod val="75000"/>
                  </a:schemeClr>
                </a:solidFill>
              </a:ln>
            </c:spPr>
          </c:marker>
          <c:xVal>
            <c:numRef>
              <c:f>'Balanceo lineas produccion'!$S$30</c:f>
              <c:numCache>
                <c:formatCode>General</c:formatCode>
                <c:ptCount val="1"/>
                <c:pt idx="0">
                  <c:v>7</c:v>
                </c:pt>
              </c:numCache>
            </c:numRef>
          </c:xVal>
          <c:yVal>
            <c:numRef>
              <c:f>'Balanceo lineas produccion'!$S$28</c:f>
              <c:numCache>
                <c:formatCode>"$"\ #,##0.00</c:formatCode>
                <c:ptCount val="1"/>
                <c:pt idx="0">
                  <c:v>3.2407407407407409</c:v>
                </c:pt>
              </c:numCache>
            </c:numRef>
          </c:yVal>
          <c:smooth val="1"/>
          <c:extLst>
            <c:ext xmlns:c16="http://schemas.microsoft.com/office/drawing/2014/chart" uri="{C3380CC4-5D6E-409C-BE32-E72D297353CC}">
              <c16:uniqueId val="{00000001-3600-47FA-9F90-480A32C86E50}"/>
            </c:ext>
          </c:extLst>
        </c:ser>
        <c:dLbls>
          <c:showLegendKey val="0"/>
          <c:showVal val="0"/>
          <c:showCatName val="0"/>
          <c:showSerName val="0"/>
          <c:showPercent val="0"/>
          <c:showBubbleSize val="0"/>
        </c:dLbls>
        <c:axId val="128958464"/>
        <c:axId val="128960384"/>
      </c:scatterChart>
      <c:valAx>
        <c:axId val="128958464"/>
        <c:scaling>
          <c:orientation val="minMax"/>
        </c:scaling>
        <c:delete val="0"/>
        <c:axPos val="b"/>
        <c:majorGridlines/>
        <c:minorGridlines/>
        <c:numFmt formatCode="General" sourceLinked="1"/>
        <c:majorTickMark val="out"/>
        <c:minorTickMark val="none"/>
        <c:tickLblPos val="nextTo"/>
        <c:crossAx val="128960384"/>
        <c:crosses val="autoZero"/>
        <c:crossBetween val="midCat"/>
        <c:majorUnit val="1"/>
      </c:valAx>
      <c:valAx>
        <c:axId val="128960384"/>
        <c:scaling>
          <c:orientation val="minMax"/>
        </c:scaling>
        <c:delete val="0"/>
        <c:axPos val="l"/>
        <c:majorGridlines/>
        <c:numFmt formatCode="&quot;$&quot;\ #,##0.00" sourceLinked="1"/>
        <c:majorTickMark val="out"/>
        <c:minorTickMark val="none"/>
        <c:tickLblPos val="nextTo"/>
        <c:crossAx val="128958464"/>
        <c:crosses val="autoZero"/>
        <c:crossBetween val="midCat"/>
      </c:valAx>
    </c:plotArea>
    <c:plotVisOnly val="1"/>
    <c:dispBlanksAs val="gap"/>
    <c:showDLblsOverMax val="0"/>
  </c:chart>
  <c:spPr>
    <a:ln>
      <a:noFill/>
    </a:ln>
  </c:spPr>
  <c:printSettings>
    <c:headerFooter/>
    <c:pageMargins b="0.75000000000000089" l="0.70000000000000062" r="0.70000000000000062" t="0.7500000000000008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AR"/>
              <a:t>Producción por línea </a:t>
            </a:r>
          </a:p>
        </c:rich>
      </c:tx>
      <c:overlay val="0"/>
      <c:spPr>
        <a:noFill/>
        <a:ln>
          <a:noFill/>
        </a:ln>
        <a:effectLst/>
      </c:spPr>
    </c:title>
    <c:autoTitleDeleted val="0"/>
    <c:plotArea>
      <c:layout/>
      <c:barChart>
        <c:barDir val="col"/>
        <c:grouping val="stacked"/>
        <c:varyColors val="0"/>
        <c:ser>
          <c:idx val="2"/>
          <c:order val="1"/>
          <c:tx>
            <c:strRef>
              <c:f>'Desempeño Líneas de producción'!$F$3</c:f>
              <c:strCache>
                <c:ptCount val="1"/>
                <c:pt idx="0">
                  <c:v>Buenos</c:v>
                </c:pt>
              </c:strCache>
            </c:strRef>
          </c:tx>
          <c:spPr>
            <a:solidFill>
              <a:srgbClr val="00B050"/>
            </a:solidFill>
            <a:ln>
              <a:solidFill>
                <a:srgbClr val="00B050"/>
              </a:solidFill>
            </a:ln>
            <a:effectLst>
              <a:outerShdw blurRad="57150" dist="19050" dir="5400000" algn="ctr" rotWithShape="0">
                <a:srgbClr val="000000">
                  <a:alpha val="63000"/>
                </a:srgbClr>
              </a:outerShdw>
            </a:effectLst>
          </c:spPr>
          <c:invertIfNegative val="0"/>
          <c:cat>
            <c:numRef>
              <c:f>'Desempeño Líneas de producción'!$B$4:$B$10</c:f>
              <c:numCache>
                <c:formatCode>General</c:formatCode>
                <c:ptCount val="7"/>
                <c:pt idx="0">
                  <c:v>1</c:v>
                </c:pt>
                <c:pt idx="1">
                  <c:v>2</c:v>
                </c:pt>
                <c:pt idx="2">
                  <c:v>3</c:v>
                </c:pt>
                <c:pt idx="3">
                  <c:v>4</c:v>
                </c:pt>
                <c:pt idx="4">
                  <c:v>5</c:v>
                </c:pt>
                <c:pt idx="5">
                  <c:v>6</c:v>
                </c:pt>
                <c:pt idx="6">
                  <c:v>7</c:v>
                </c:pt>
              </c:numCache>
            </c:numRef>
          </c:cat>
          <c:val>
            <c:numRef>
              <c:f>'Desempeño Líneas de producción'!$F$4:$F$10</c:f>
              <c:numCache>
                <c:formatCode>General</c:formatCode>
                <c:ptCount val="7"/>
                <c:pt idx="0">
                  <c:v>794</c:v>
                </c:pt>
                <c:pt idx="1">
                  <c:v>100</c:v>
                </c:pt>
                <c:pt idx="2">
                  <c:v>449</c:v>
                </c:pt>
                <c:pt idx="3">
                  <c:v>50</c:v>
                </c:pt>
                <c:pt idx="4">
                  <c:v>100</c:v>
                </c:pt>
                <c:pt idx="5">
                  <c:v>100</c:v>
                </c:pt>
                <c:pt idx="6">
                  <c:v>375</c:v>
                </c:pt>
              </c:numCache>
            </c:numRef>
          </c:val>
          <c:extLst>
            <c:ext xmlns:c16="http://schemas.microsoft.com/office/drawing/2014/chart" uri="{C3380CC4-5D6E-409C-BE32-E72D297353CC}">
              <c16:uniqueId val="{00000000-8B7D-4A7D-B5DB-089EAE630C65}"/>
            </c:ext>
          </c:extLst>
        </c:ser>
        <c:ser>
          <c:idx val="1"/>
          <c:order val="2"/>
          <c:tx>
            <c:strRef>
              <c:f>'Desempeño Líneas de producción'!$E$3</c:f>
              <c:strCache>
                <c:ptCount val="1"/>
                <c:pt idx="0">
                  <c:v>Defectuosos</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'Desempeño Líneas de producción'!$B$4:$B$10</c:f>
              <c:numCache>
                <c:formatCode>General</c:formatCode>
                <c:ptCount val="7"/>
                <c:pt idx="0">
                  <c:v>1</c:v>
                </c:pt>
                <c:pt idx="1">
                  <c:v>2</c:v>
                </c:pt>
                <c:pt idx="2">
                  <c:v>3</c:v>
                </c:pt>
                <c:pt idx="3">
                  <c:v>4</c:v>
                </c:pt>
                <c:pt idx="4">
                  <c:v>5</c:v>
                </c:pt>
                <c:pt idx="5">
                  <c:v>6</c:v>
                </c:pt>
                <c:pt idx="6">
                  <c:v>7</c:v>
                </c:pt>
              </c:numCache>
            </c:numRef>
          </c:cat>
          <c:val>
            <c:numRef>
              <c:f>'Desempeño Líneas de producción'!$E$4:$E$10</c:f>
              <c:numCache>
                <c:formatCode>General</c:formatCode>
                <c:ptCount val="7"/>
                <c:pt idx="0">
                  <c:v>60</c:v>
                </c:pt>
                <c:pt idx="1">
                  <c:v>20</c:v>
                </c:pt>
                <c:pt idx="2">
                  <c:v>50</c:v>
                </c:pt>
                <c:pt idx="3">
                  <c:v>50</c:v>
                </c:pt>
                <c:pt idx="4">
                  <c:v>20</c:v>
                </c:pt>
                <c:pt idx="5">
                  <c:v>20</c:v>
                </c:pt>
                <c:pt idx="6">
                  <c:v>25</c:v>
                </c:pt>
              </c:numCache>
            </c:numRef>
          </c:val>
          <c:extLst>
            <c:ext xmlns:c16="http://schemas.microsoft.com/office/drawing/2014/chart" uri="{C3380CC4-5D6E-409C-BE32-E72D297353CC}">
              <c16:uniqueId val="{00000001-8B7D-4A7D-B5DB-089EAE630C65}"/>
            </c:ext>
          </c:extLst>
        </c:ser>
        <c:dLbls>
          <c:showLegendKey val="0"/>
          <c:showVal val="0"/>
          <c:showCatName val="0"/>
          <c:showSerName val="0"/>
          <c:showPercent val="0"/>
          <c:showBubbleSize val="0"/>
        </c:dLbls>
        <c:gapWidth val="150"/>
        <c:overlap val="100"/>
        <c:axId val="129308928"/>
        <c:axId val="129323008"/>
      </c:barChart>
      <c:barChart>
        <c:barDir val="col"/>
        <c:grouping val="stacked"/>
        <c:varyColors val="0"/>
        <c:dLbls>
          <c:showLegendKey val="0"/>
          <c:showVal val="0"/>
          <c:showCatName val="0"/>
          <c:showSerName val="0"/>
          <c:showPercent val="0"/>
          <c:showBubbleSize val="0"/>
        </c:dLbls>
        <c:gapWidth val="150"/>
        <c:overlap val="100"/>
        <c:axId val="129326080"/>
        <c:axId val="129324544"/>
        <c:extLst>
          <c:ext xmlns:c15="http://schemas.microsoft.com/office/drawing/2012/chart" uri="{02D57815-91ED-43cb-92C2-25804820EDAC}">
            <c15:filteredBarSeries>
              <c15:ser>
                <c:idx val="3"/>
                <c:order val="3"/>
                <c:tx>
                  <c:strRef>
                    <c:extLst>
                      <c:ext uri="{02D57815-91ED-43cb-92C2-25804820EDAC}">
                        <c15:formulaRef>
                          <c15:sqref>'Desempeño Líneas de producción'!$D$3</c15:sqref>
                        </c15:formulaRef>
                      </c:ext>
                    </c:extLst>
                    <c:strCache>
                      <c:ptCount val="1"/>
                      <c:pt idx="0">
                        <c:v>Producidos</c:v>
                      </c:pt>
                    </c:strCache>
                  </c:strRef>
                </c:tx>
                <c:spPr>
                  <a:solidFill>
                    <a:schemeClr val="accent5"/>
                  </a:solidFill>
                  <a:ln>
                    <a:noFill/>
                  </a:ln>
                  <a:effectLst>
                    <a:outerShdw blurRad="57150" dist="19050" dir="5400000" algn="ctr" rotWithShape="0">
                      <a:srgbClr val="000000">
                        <a:alpha val="63000"/>
                      </a:srgbClr>
                    </a:outerShdw>
                  </a:effectLst>
                </c:spPr>
                <c:invertIfNegative val="0"/>
                <c:val>
                  <c:numRef>
                    <c:extLst>
                      <c:ext uri="{02D57815-91ED-43cb-92C2-25804820EDAC}">
                        <c15:formulaRef>
                          <c15:sqref>[0]!Producidos</c15:sqref>
                        </c15:formulaRef>
                      </c:ext>
                    </c:extLst>
                    <c:numCache>
                      <c:formatCode>General</c:formatCode>
                      <c:ptCount val="7"/>
                      <c:pt idx="0">
                        <c:v>854</c:v>
                      </c:pt>
                      <c:pt idx="1">
                        <c:v>120</c:v>
                      </c:pt>
                      <c:pt idx="2">
                        <c:v>499</c:v>
                      </c:pt>
                      <c:pt idx="3">
                        <c:v>100</c:v>
                      </c:pt>
                      <c:pt idx="4">
                        <c:v>120</c:v>
                      </c:pt>
                      <c:pt idx="5">
                        <c:v>120</c:v>
                      </c:pt>
                      <c:pt idx="6">
                        <c:v>400</c:v>
                      </c:pt>
                    </c:numCache>
                  </c:numRef>
                </c:val>
                <c:extLst>
                  <c:ext xmlns:c16="http://schemas.microsoft.com/office/drawing/2014/chart" uri="{C3380CC4-5D6E-409C-BE32-E72D297353CC}">
                    <c16:uniqueId val="{00000003-8B7D-4A7D-B5DB-089EAE630C65}"/>
                  </c:ext>
                </c:extLst>
              </c15:ser>
            </c15:filteredBarSeries>
          </c:ext>
        </c:extLst>
      </c:barChart>
      <c:lineChart>
        <c:grouping val="standard"/>
        <c:varyColors val="0"/>
        <c:ser>
          <c:idx val="0"/>
          <c:order val="0"/>
          <c:tx>
            <c:strRef>
              <c:f>'Desempeño Líneas de producción'!$C$3</c:f>
              <c:strCache>
                <c:ptCount val="1"/>
                <c:pt idx="0">
                  <c:v>Objetivo</c:v>
                </c:pt>
              </c:strCache>
            </c:strRef>
          </c:tx>
          <c:spPr>
            <a:ln w="34925" cap="rnd">
              <a:solidFill>
                <a:schemeClr val="accent2"/>
              </a:solidFill>
              <a:round/>
            </a:ln>
            <a:effectLst>
              <a:outerShdw blurRad="57150" dist="19050" dir="5400000" algn="ctr" rotWithShape="0">
                <a:srgbClr val="000000">
                  <a:alpha val="63000"/>
                </a:srgbClr>
              </a:outerShdw>
            </a:effectLst>
          </c:spPr>
          <c:marker>
            <c:symbol val="none"/>
          </c:marker>
          <c:cat>
            <c:numRef>
              <c:f>'Desempeño Líneas de producción'!$B$4:$B$10</c:f>
              <c:numCache>
                <c:formatCode>General</c:formatCode>
                <c:ptCount val="7"/>
                <c:pt idx="0">
                  <c:v>1</c:v>
                </c:pt>
                <c:pt idx="1">
                  <c:v>2</c:v>
                </c:pt>
                <c:pt idx="2">
                  <c:v>3</c:v>
                </c:pt>
                <c:pt idx="3">
                  <c:v>4</c:v>
                </c:pt>
                <c:pt idx="4">
                  <c:v>5</c:v>
                </c:pt>
                <c:pt idx="5">
                  <c:v>6</c:v>
                </c:pt>
                <c:pt idx="6">
                  <c:v>7</c:v>
                </c:pt>
              </c:numCache>
            </c:numRef>
          </c:cat>
          <c:val>
            <c:numRef>
              <c:f>'Desempeño Líneas de producción'!$C$4:$C$10</c:f>
              <c:numCache>
                <c:formatCode>General</c:formatCode>
                <c:ptCount val="7"/>
                <c:pt idx="0">
                  <c:v>1000</c:v>
                </c:pt>
                <c:pt idx="1">
                  <c:v>350</c:v>
                </c:pt>
                <c:pt idx="2">
                  <c:v>500</c:v>
                </c:pt>
                <c:pt idx="3">
                  <c:v>500</c:v>
                </c:pt>
                <c:pt idx="4">
                  <c:v>350</c:v>
                </c:pt>
                <c:pt idx="5">
                  <c:v>350</c:v>
                </c:pt>
                <c:pt idx="6">
                  <c:v>400</c:v>
                </c:pt>
              </c:numCache>
            </c:numRef>
          </c:val>
          <c:smooth val="0"/>
          <c:extLst>
            <c:ext xmlns:c16="http://schemas.microsoft.com/office/drawing/2014/chart" uri="{C3380CC4-5D6E-409C-BE32-E72D297353CC}">
              <c16:uniqueId val="{00000002-8B7D-4A7D-B5DB-089EAE630C65}"/>
            </c:ext>
          </c:extLst>
        </c:ser>
        <c:dLbls>
          <c:showLegendKey val="0"/>
          <c:showVal val="0"/>
          <c:showCatName val="0"/>
          <c:showSerName val="0"/>
          <c:showPercent val="0"/>
          <c:showBubbleSize val="0"/>
        </c:dLbls>
        <c:marker val="1"/>
        <c:smooth val="0"/>
        <c:axId val="129308928"/>
        <c:axId val="129323008"/>
      </c:lineChart>
      <c:catAx>
        <c:axId val="12930892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323008"/>
        <c:crosses val="autoZero"/>
        <c:auto val="1"/>
        <c:lblAlgn val="ctr"/>
        <c:lblOffset val="100"/>
        <c:noMultiLvlLbl val="0"/>
      </c:catAx>
      <c:valAx>
        <c:axId val="129323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308928"/>
        <c:crosses val="autoZero"/>
        <c:crossBetween val="between"/>
      </c:valAx>
      <c:valAx>
        <c:axId val="129324544"/>
        <c:scaling>
          <c:orientation val="minMax"/>
        </c:scaling>
        <c:delete val="1"/>
        <c:axPos val="r"/>
        <c:numFmt formatCode="General" sourceLinked="1"/>
        <c:majorTickMark val="none"/>
        <c:minorTickMark val="none"/>
        <c:tickLblPos val="nextTo"/>
        <c:crossAx val="129326080"/>
        <c:crosses val="max"/>
        <c:crossBetween val="between"/>
      </c:valAx>
      <c:catAx>
        <c:axId val="129326080"/>
        <c:scaling>
          <c:orientation val="minMax"/>
        </c:scaling>
        <c:delete val="1"/>
        <c:axPos val="b"/>
        <c:numFmt formatCode="General" sourceLinked="1"/>
        <c:majorTickMark val="none"/>
        <c:minorTickMark val="none"/>
        <c:tickLblPos val="nextTo"/>
        <c:crossAx val="12932454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AR"/>
              <a:t>Productividad</a:t>
            </a:r>
            <a:r>
              <a:rPr lang="es-AR" baseline="0"/>
              <a:t> por Producto</a:t>
            </a:r>
            <a:endParaRPr lang="es-AR"/>
          </a:p>
        </c:rich>
      </c:tx>
      <c:overlay val="0"/>
      <c:spPr>
        <a:noFill/>
        <a:ln>
          <a:noFill/>
        </a:ln>
        <a:effectLst/>
      </c:spPr>
    </c:title>
    <c:autoTitleDeleted val="0"/>
    <c:plotArea>
      <c:layout/>
      <c:barChart>
        <c:barDir val="col"/>
        <c:grouping val="clustered"/>
        <c:varyColors val="0"/>
        <c:ser>
          <c:idx val="0"/>
          <c:order val="0"/>
          <c:tx>
            <c:strRef>
              <c:f>'Productividad por producto'!$B$15</c:f>
              <c:strCache>
                <c:ptCount val="1"/>
                <c:pt idx="0">
                  <c:v>Índice de Productividad Mano de obra </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'Productividad por producto'!$C$14:$G$14</c:f>
              <c:strCache>
                <c:ptCount val="5"/>
                <c:pt idx="0">
                  <c:v>Producto A</c:v>
                </c:pt>
                <c:pt idx="1">
                  <c:v>Producto B</c:v>
                </c:pt>
                <c:pt idx="2">
                  <c:v>Producto C</c:v>
                </c:pt>
                <c:pt idx="3">
                  <c:v>Producto D</c:v>
                </c:pt>
                <c:pt idx="4">
                  <c:v>Producto E</c:v>
                </c:pt>
              </c:strCache>
            </c:strRef>
          </c:cat>
          <c:val>
            <c:numRef>
              <c:f>'Productividad por producto'!$C$15:$G$15</c:f>
              <c:numCache>
                <c:formatCode>_ * #,##0.00_ ;_ * \-#,##0.00_ ;_ * "-"??_ ;_ @_ </c:formatCode>
                <c:ptCount val="5"/>
                <c:pt idx="0">
                  <c:v>5.7142857142857144</c:v>
                </c:pt>
                <c:pt idx="1">
                  <c:v>75</c:v>
                </c:pt>
                <c:pt idx="2">
                  <c:v>21.666666666666668</c:v>
                </c:pt>
                <c:pt idx="3">
                  <c:v>11.458333333333334</c:v>
                </c:pt>
                <c:pt idx="4">
                  <c:v>25</c:v>
                </c:pt>
              </c:numCache>
            </c:numRef>
          </c:val>
          <c:extLst>
            <c:ext xmlns:c16="http://schemas.microsoft.com/office/drawing/2014/chart" uri="{C3380CC4-5D6E-409C-BE32-E72D297353CC}">
              <c16:uniqueId val="{00000000-DA55-4221-8C08-FE422F5C936C}"/>
            </c:ext>
          </c:extLst>
        </c:ser>
        <c:ser>
          <c:idx val="1"/>
          <c:order val="1"/>
          <c:tx>
            <c:strRef>
              <c:f>'Productividad por producto'!$B$16</c:f>
              <c:strCache>
                <c:ptCount val="1"/>
                <c:pt idx="0">
                  <c:v>Índice de Productividad Materia Prima</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'Productividad por producto'!$C$14:$G$14</c:f>
              <c:strCache>
                <c:ptCount val="5"/>
                <c:pt idx="0">
                  <c:v>Producto A</c:v>
                </c:pt>
                <c:pt idx="1">
                  <c:v>Producto B</c:v>
                </c:pt>
                <c:pt idx="2">
                  <c:v>Producto C</c:v>
                </c:pt>
                <c:pt idx="3">
                  <c:v>Producto D</c:v>
                </c:pt>
                <c:pt idx="4">
                  <c:v>Producto E</c:v>
                </c:pt>
              </c:strCache>
            </c:strRef>
          </c:cat>
          <c:val>
            <c:numRef>
              <c:f>'Productividad por producto'!$C$16:$G$16</c:f>
              <c:numCache>
                <c:formatCode>_ * #,##0.00_ ;_ * \-#,##0.00_ ;_ * "-"??_ ;_ @_ </c:formatCode>
                <c:ptCount val="5"/>
                <c:pt idx="0">
                  <c:v>1.6666666666666667</c:v>
                </c:pt>
                <c:pt idx="1">
                  <c:v>7.1428571428571432</c:v>
                </c:pt>
                <c:pt idx="2">
                  <c:v>2.5793650793650795</c:v>
                </c:pt>
                <c:pt idx="3">
                  <c:v>5.5</c:v>
                </c:pt>
                <c:pt idx="4">
                  <c:v>7.9365079365079367</c:v>
                </c:pt>
              </c:numCache>
            </c:numRef>
          </c:val>
          <c:extLst>
            <c:ext xmlns:c16="http://schemas.microsoft.com/office/drawing/2014/chart" uri="{C3380CC4-5D6E-409C-BE32-E72D297353CC}">
              <c16:uniqueId val="{00000001-DA55-4221-8C08-FE422F5C936C}"/>
            </c:ext>
          </c:extLst>
        </c:ser>
        <c:dLbls>
          <c:dLblPos val="inEnd"/>
          <c:showLegendKey val="0"/>
          <c:showVal val="1"/>
          <c:showCatName val="0"/>
          <c:showSerName val="0"/>
          <c:showPercent val="0"/>
          <c:showBubbleSize val="0"/>
        </c:dLbls>
        <c:gapWidth val="65"/>
        <c:axId val="129681280"/>
        <c:axId val="129682816"/>
      </c:barChart>
      <c:catAx>
        <c:axId val="12968128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29682816"/>
        <c:crosses val="autoZero"/>
        <c:auto val="1"/>
        <c:lblAlgn val="ctr"/>
        <c:lblOffset val="100"/>
        <c:noMultiLvlLbl val="0"/>
      </c:catAx>
      <c:valAx>
        <c:axId val="129682816"/>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_ * #,##0.00_ ;_ * \-#,##0.00_ ;_ * &quot;-&quot;??_ ;_ @_ " sourceLinked="1"/>
        <c:majorTickMark val="none"/>
        <c:minorTickMark val="none"/>
        <c:tickLblPos val="nextTo"/>
        <c:crossAx val="129681280"/>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'Productividad por producto'!$B$17</c:f>
              <c:strCache>
                <c:ptCount val="1"/>
                <c:pt idx="0">
                  <c:v>Índice de Productividad Total</c:v>
                </c:pt>
              </c:strCache>
            </c:strRef>
          </c:tx>
          <c:spPr>
            <a:solidFill>
              <a:schemeClr val="accent6">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'Productividad por producto'!$C$17:$G$17</c:f>
              <c:numCache>
                <c:formatCode>_ * #,##0.00_ ;_ * \-#,##0.00_ ;_ * "-"??_ ;_ @_ </c:formatCode>
                <c:ptCount val="5"/>
                <c:pt idx="0">
                  <c:v>1.1764705882352942</c:v>
                </c:pt>
                <c:pt idx="1">
                  <c:v>5.7692307692307692</c:v>
                </c:pt>
                <c:pt idx="2">
                  <c:v>1.9230769230769231</c:v>
                </c:pt>
                <c:pt idx="3">
                  <c:v>3.4161490683229814</c:v>
                </c:pt>
                <c:pt idx="4">
                  <c:v>5.4054054054054053</c:v>
                </c:pt>
              </c:numCache>
            </c:numRef>
          </c:val>
          <c:extLst>
            <c:ext xmlns:c16="http://schemas.microsoft.com/office/drawing/2014/chart" uri="{C3380CC4-5D6E-409C-BE32-E72D297353CC}">
              <c16:uniqueId val="{00000000-FC00-4A4B-B3F0-0AD3F1D4CE8C}"/>
            </c:ext>
          </c:extLst>
        </c:ser>
        <c:dLbls>
          <c:dLblPos val="inEnd"/>
          <c:showLegendKey val="0"/>
          <c:showVal val="1"/>
          <c:showCatName val="0"/>
          <c:showSerName val="0"/>
          <c:showPercent val="0"/>
          <c:showBubbleSize val="0"/>
        </c:dLbls>
        <c:gapWidth val="65"/>
        <c:axId val="129780736"/>
        <c:axId val="129791872"/>
      </c:barChart>
      <c:catAx>
        <c:axId val="129780736"/>
        <c:scaling>
          <c:orientation val="minMax"/>
        </c:scaling>
        <c:delete val="0"/>
        <c:axPos val="b"/>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29791872"/>
        <c:crosses val="autoZero"/>
        <c:auto val="1"/>
        <c:lblAlgn val="ctr"/>
        <c:lblOffset val="100"/>
        <c:noMultiLvlLbl val="0"/>
      </c:catAx>
      <c:valAx>
        <c:axId val="12979187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_ * #,##0.00_ ;_ * \-#,##0.00_ ;_ * &quot;-&quot;??_ ;_ @_ " sourceLinked="1"/>
        <c:majorTickMark val="none"/>
        <c:minorTickMark val="none"/>
        <c:tickLblPos val="nextTo"/>
        <c:crossAx val="129780736"/>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a:t>grafico</a:t>
            </a:r>
            <a:r>
              <a:rPr lang="es-MX" baseline="0"/>
              <a:t> de control del proceso X</a:t>
            </a:r>
            <a:endParaRPr lang="es-MX"/>
          </a:p>
        </c:rich>
      </c:tx>
      <c:overlay val="0"/>
      <c:spPr>
        <a:noFill/>
        <a:ln>
          <a:noFill/>
        </a:ln>
        <a:effectLst/>
      </c:spPr>
    </c:title>
    <c:autoTitleDeleted val="0"/>
    <c:plotArea>
      <c:layout/>
      <c:lineChart>
        <c:grouping val="standard"/>
        <c:varyColors val="0"/>
        <c:ser>
          <c:idx val="0"/>
          <c:order val="0"/>
          <c:tx>
            <c:strRef>
              <c:f>'Grafica procesos X-R'!$H$4:$H$5</c:f>
              <c:strCache>
                <c:ptCount val="2"/>
                <c:pt idx="0">
                  <c:v>DATOS DE LA MEDIA</c:v>
                </c:pt>
                <c:pt idx="1">
                  <c:v>promedio x</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'Grafica procesos X-R'!$H$6:$H$20</c:f>
              <c:numCache>
                <c:formatCode>General</c:formatCode>
                <c:ptCount val="15"/>
                <c:pt idx="0">
                  <c:v>6.51</c:v>
                </c:pt>
                <c:pt idx="1">
                  <c:v>6.492</c:v>
                </c:pt>
                <c:pt idx="2">
                  <c:v>6.4640000000000004</c:v>
                </c:pt>
                <c:pt idx="3">
                  <c:v>6.492</c:v>
                </c:pt>
                <c:pt idx="4">
                  <c:v>6.5359999999999996</c:v>
                </c:pt>
                <c:pt idx="5">
                  <c:v>6.4759999999999991</c:v>
                </c:pt>
                <c:pt idx="6">
                  <c:v>6.4540000000000006</c:v>
                </c:pt>
                <c:pt idx="7">
                  <c:v>6.5140000000000002</c:v>
                </c:pt>
                <c:pt idx="8">
                  <c:v>6.4460000000000006</c:v>
                </c:pt>
                <c:pt idx="9">
                  <c:v>6.4540000000000006</c:v>
                </c:pt>
                <c:pt idx="10">
                  <c:v>6.4420000000000002</c:v>
                </c:pt>
                <c:pt idx="11">
                  <c:v>6.4960000000000004</c:v>
                </c:pt>
                <c:pt idx="12">
                  <c:v>6.5239999999999991</c:v>
                </c:pt>
                <c:pt idx="13">
                  <c:v>6.4799999999999995</c:v>
                </c:pt>
                <c:pt idx="14">
                  <c:v>6.734</c:v>
                </c:pt>
              </c:numCache>
            </c:numRef>
          </c:val>
          <c:smooth val="0"/>
          <c:extLst>
            <c:ext xmlns:c16="http://schemas.microsoft.com/office/drawing/2014/chart" uri="{C3380CC4-5D6E-409C-BE32-E72D297353CC}">
              <c16:uniqueId val="{00000000-320A-D94B-83E1-0BF0B2A4854B}"/>
            </c:ext>
          </c:extLst>
        </c:ser>
        <c:ser>
          <c:idx val="1"/>
          <c:order val="1"/>
          <c:tx>
            <c:strRef>
              <c:f>'Grafica procesos X-R'!$I$4:$I$5</c:f>
              <c:strCache>
                <c:ptCount val="2"/>
                <c:pt idx="0">
                  <c:v>DATOS DE LA MEDIA</c:v>
                </c:pt>
                <c:pt idx="1">
                  <c:v>LCX</c:v>
                </c:pt>
              </c:strCache>
            </c:strRef>
          </c:tx>
          <c:spPr>
            <a:ln w="28575" cap="rnd">
              <a:solidFill>
                <a:schemeClr val="accent2"/>
              </a:solidFill>
              <a:round/>
            </a:ln>
            <a:effectLst/>
          </c:spPr>
          <c:marker>
            <c:symbol val="none"/>
          </c:marker>
          <c:val>
            <c:numRef>
              <c:f>'Grafica procesos X-R'!$I$6:$I$20</c:f>
              <c:numCache>
                <c:formatCode>General</c:formatCode>
                <c:ptCount val="15"/>
                <c:pt idx="0">
                  <c:v>6.5009333333333332</c:v>
                </c:pt>
                <c:pt idx="1">
                  <c:v>6.5009333333333332</c:v>
                </c:pt>
                <c:pt idx="2">
                  <c:v>6.5009333333333332</c:v>
                </c:pt>
                <c:pt idx="3">
                  <c:v>6.5009333333333332</c:v>
                </c:pt>
                <c:pt idx="4">
                  <c:v>6.5009333333333332</c:v>
                </c:pt>
                <c:pt idx="5">
                  <c:v>6.5009333333333332</c:v>
                </c:pt>
                <c:pt idx="6">
                  <c:v>6.5009333333333332</c:v>
                </c:pt>
                <c:pt idx="7">
                  <c:v>6.5009333333333332</c:v>
                </c:pt>
                <c:pt idx="8">
                  <c:v>6.5009333333333332</c:v>
                </c:pt>
                <c:pt idx="9">
                  <c:v>6.5009333333333332</c:v>
                </c:pt>
                <c:pt idx="10">
                  <c:v>6.5009333333333332</c:v>
                </c:pt>
                <c:pt idx="11">
                  <c:v>6.5009333333333332</c:v>
                </c:pt>
                <c:pt idx="12">
                  <c:v>6.5009333333333332</c:v>
                </c:pt>
                <c:pt idx="13">
                  <c:v>6.5009333333333332</c:v>
                </c:pt>
                <c:pt idx="14">
                  <c:v>6.5009333333333332</c:v>
                </c:pt>
              </c:numCache>
            </c:numRef>
          </c:val>
          <c:smooth val="0"/>
          <c:extLst>
            <c:ext xmlns:c16="http://schemas.microsoft.com/office/drawing/2014/chart" uri="{C3380CC4-5D6E-409C-BE32-E72D297353CC}">
              <c16:uniqueId val="{00000001-320A-D94B-83E1-0BF0B2A4854B}"/>
            </c:ext>
          </c:extLst>
        </c:ser>
        <c:ser>
          <c:idx val="2"/>
          <c:order val="2"/>
          <c:tx>
            <c:strRef>
              <c:f>'Grafica procesos X-R'!$J$4:$J$5</c:f>
              <c:strCache>
                <c:ptCount val="2"/>
                <c:pt idx="0">
                  <c:v>DATOS DE LA MEDIA</c:v>
                </c:pt>
                <c:pt idx="1">
                  <c:v>LCS</c:v>
                </c:pt>
              </c:strCache>
            </c:strRef>
          </c:tx>
          <c:spPr>
            <a:ln w="28575" cap="rnd">
              <a:solidFill>
                <a:schemeClr val="accent3"/>
              </a:solidFill>
              <a:round/>
            </a:ln>
            <a:effectLst/>
          </c:spPr>
          <c:marker>
            <c:symbol val="none"/>
          </c:marker>
          <c:val>
            <c:numRef>
              <c:f>'Grafica procesos X-R'!$J$6:$J$20</c:f>
              <c:numCache>
                <c:formatCode>General</c:formatCode>
                <c:ptCount val="15"/>
                <c:pt idx="0">
                  <c:v>6.6628780000000001</c:v>
                </c:pt>
                <c:pt idx="1">
                  <c:v>6.6628780000000001</c:v>
                </c:pt>
                <c:pt idx="2">
                  <c:v>6.6628780000000001</c:v>
                </c:pt>
                <c:pt idx="3">
                  <c:v>6.6628780000000001</c:v>
                </c:pt>
                <c:pt idx="4">
                  <c:v>6.6628780000000001</c:v>
                </c:pt>
                <c:pt idx="5">
                  <c:v>6.6628780000000001</c:v>
                </c:pt>
                <c:pt idx="6">
                  <c:v>6.6628780000000001</c:v>
                </c:pt>
                <c:pt idx="7">
                  <c:v>6.6628780000000001</c:v>
                </c:pt>
                <c:pt idx="8">
                  <c:v>6.6628780000000001</c:v>
                </c:pt>
                <c:pt idx="9">
                  <c:v>6.6628780000000001</c:v>
                </c:pt>
                <c:pt idx="10">
                  <c:v>6.6628780000000001</c:v>
                </c:pt>
                <c:pt idx="11">
                  <c:v>6.6628780000000001</c:v>
                </c:pt>
                <c:pt idx="12">
                  <c:v>6.6628780000000001</c:v>
                </c:pt>
                <c:pt idx="13">
                  <c:v>6.6628780000000001</c:v>
                </c:pt>
                <c:pt idx="14">
                  <c:v>6.6628780000000001</c:v>
                </c:pt>
              </c:numCache>
            </c:numRef>
          </c:val>
          <c:smooth val="0"/>
          <c:extLst>
            <c:ext xmlns:c16="http://schemas.microsoft.com/office/drawing/2014/chart" uri="{C3380CC4-5D6E-409C-BE32-E72D297353CC}">
              <c16:uniqueId val="{00000002-320A-D94B-83E1-0BF0B2A4854B}"/>
            </c:ext>
          </c:extLst>
        </c:ser>
        <c:ser>
          <c:idx val="3"/>
          <c:order val="3"/>
          <c:tx>
            <c:strRef>
              <c:f>'Grafica procesos X-R'!$K$4:$K$5</c:f>
              <c:strCache>
                <c:ptCount val="2"/>
                <c:pt idx="0">
                  <c:v>DATOS DE LA MEDIA</c:v>
                </c:pt>
                <c:pt idx="1">
                  <c:v>LCI</c:v>
                </c:pt>
              </c:strCache>
            </c:strRef>
          </c:tx>
          <c:spPr>
            <a:ln w="28575" cap="rnd">
              <a:solidFill>
                <a:schemeClr val="accent4"/>
              </a:solidFill>
              <a:round/>
            </a:ln>
            <a:effectLst/>
          </c:spPr>
          <c:marker>
            <c:symbol val="none"/>
          </c:marker>
          <c:val>
            <c:numRef>
              <c:f>'Grafica procesos X-R'!$K$6:$K$20</c:f>
              <c:numCache>
                <c:formatCode>General</c:formatCode>
                <c:ptCount val="15"/>
                <c:pt idx="0">
                  <c:v>6.3389886666666664</c:v>
                </c:pt>
                <c:pt idx="1">
                  <c:v>6.3389886666666664</c:v>
                </c:pt>
                <c:pt idx="2">
                  <c:v>6.3389886666666664</c:v>
                </c:pt>
                <c:pt idx="3">
                  <c:v>6.3389886666666664</c:v>
                </c:pt>
                <c:pt idx="4">
                  <c:v>6.3389886666666664</c:v>
                </c:pt>
                <c:pt idx="5">
                  <c:v>6.3389886666666664</c:v>
                </c:pt>
                <c:pt idx="6">
                  <c:v>6.3389886666666664</c:v>
                </c:pt>
                <c:pt idx="7">
                  <c:v>6.3389886666666664</c:v>
                </c:pt>
                <c:pt idx="8">
                  <c:v>6.3389886666666664</c:v>
                </c:pt>
                <c:pt idx="9">
                  <c:v>6.3389886666666664</c:v>
                </c:pt>
                <c:pt idx="10">
                  <c:v>6.3389886666666664</c:v>
                </c:pt>
                <c:pt idx="11">
                  <c:v>6.3389886666666664</c:v>
                </c:pt>
                <c:pt idx="12">
                  <c:v>6.3389886666666664</c:v>
                </c:pt>
                <c:pt idx="13">
                  <c:v>6.3389886666666664</c:v>
                </c:pt>
                <c:pt idx="14">
                  <c:v>6.3389886666666664</c:v>
                </c:pt>
              </c:numCache>
            </c:numRef>
          </c:val>
          <c:smooth val="0"/>
          <c:extLst>
            <c:ext xmlns:c16="http://schemas.microsoft.com/office/drawing/2014/chart" uri="{C3380CC4-5D6E-409C-BE32-E72D297353CC}">
              <c16:uniqueId val="{00000003-320A-D94B-83E1-0BF0B2A4854B}"/>
            </c:ext>
          </c:extLst>
        </c:ser>
        <c:dLbls>
          <c:showLegendKey val="0"/>
          <c:showVal val="0"/>
          <c:showCatName val="0"/>
          <c:showSerName val="0"/>
          <c:showPercent val="0"/>
          <c:showBubbleSize val="0"/>
        </c:dLbls>
        <c:marker val="1"/>
        <c:smooth val="0"/>
        <c:axId val="127881984"/>
        <c:axId val="127883904"/>
      </c:lineChart>
      <c:catAx>
        <c:axId val="1278819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Registros de Muestras </a:t>
                </a:r>
              </a:p>
            </c:rich>
          </c:tx>
          <c:overlay val="0"/>
          <c:spPr>
            <a:noFill/>
            <a:ln>
              <a:noFill/>
            </a:ln>
            <a:effectLst/>
          </c:sp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83904"/>
        <c:crosses val="autoZero"/>
        <c:auto val="1"/>
        <c:lblAlgn val="ctr"/>
        <c:lblOffset val="100"/>
        <c:noMultiLvlLbl val="0"/>
      </c:catAx>
      <c:valAx>
        <c:axId val="1278839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espesores del tornillo</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81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a:t>Grafica</a:t>
            </a:r>
            <a:r>
              <a:rPr lang="es-MX" baseline="0"/>
              <a:t> de control de procesos Rangos</a:t>
            </a:r>
            <a:endParaRPr lang="es-MX"/>
          </a:p>
        </c:rich>
      </c:tx>
      <c:overlay val="0"/>
      <c:spPr>
        <a:noFill/>
        <a:ln>
          <a:noFill/>
        </a:ln>
        <a:effectLst/>
      </c:spPr>
    </c:title>
    <c:autoTitleDeleted val="0"/>
    <c:plotArea>
      <c:layout/>
      <c:lineChart>
        <c:grouping val="standard"/>
        <c:varyColors val="0"/>
        <c:ser>
          <c:idx val="0"/>
          <c:order val="0"/>
          <c:tx>
            <c:strRef>
              <c:f>'Grafica procesos X-R'!$M$5</c:f>
              <c:strCache>
                <c:ptCount val="1"/>
                <c:pt idx="0">
                  <c:v>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'Grafica procesos X-R'!$M$6:$M$20</c:f>
              <c:numCache>
                <c:formatCode>General</c:formatCode>
                <c:ptCount val="15"/>
                <c:pt idx="0">
                  <c:v>0.40000000000000036</c:v>
                </c:pt>
                <c:pt idx="1">
                  <c:v>0.25999999999999979</c:v>
                </c:pt>
                <c:pt idx="2">
                  <c:v>0.19999999999999929</c:v>
                </c:pt>
                <c:pt idx="3">
                  <c:v>0.25999999999999979</c:v>
                </c:pt>
                <c:pt idx="4">
                  <c:v>0.30999999999999961</c:v>
                </c:pt>
                <c:pt idx="5">
                  <c:v>0.4300000000000006</c:v>
                </c:pt>
                <c:pt idx="6">
                  <c:v>0.10999999999999943</c:v>
                </c:pt>
                <c:pt idx="7">
                  <c:v>0.37999999999999989</c:v>
                </c:pt>
                <c:pt idx="8">
                  <c:v>0.14999999999999947</c:v>
                </c:pt>
                <c:pt idx="9">
                  <c:v>9.9999999999999645E-2</c:v>
                </c:pt>
                <c:pt idx="10">
                  <c:v>0.16999999999999993</c:v>
                </c:pt>
                <c:pt idx="11">
                  <c:v>0.45000000000000018</c:v>
                </c:pt>
                <c:pt idx="12">
                  <c:v>0.45999999999999996</c:v>
                </c:pt>
                <c:pt idx="13">
                  <c:v>0.1899999999999995</c:v>
                </c:pt>
                <c:pt idx="14">
                  <c:v>0.33999999999999986</c:v>
                </c:pt>
              </c:numCache>
            </c:numRef>
          </c:val>
          <c:smooth val="0"/>
          <c:extLst>
            <c:ext xmlns:c16="http://schemas.microsoft.com/office/drawing/2014/chart" uri="{C3380CC4-5D6E-409C-BE32-E72D297353CC}">
              <c16:uniqueId val="{00000000-A2F1-5C40-82EC-1E597E0846A9}"/>
            </c:ext>
          </c:extLst>
        </c:ser>
        <c:ser>
          <c:idx val="1"/>
          <c:order val="1"/>
          <c:tx>
            <c:strRef>
              <c:f>'Grafica procesos X-R'!$N$5</c:f>
              <c:strCache>
                <c:ptCount val="1"/>
                <c:pt idx="0">
                  <c:v>LCR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'Grafica procesos X-R'!$N$6:$N$20</c:f>
              <c:numCache>
                <c:formatCode>General</c:formatCode>
                <c:ptCount val="15"/>
                <c:pt idx="0">
                  <c:v>0.28066666666666651</c:v>
                </c:pt>
                <c:pt idx="1">
                  <c:v>0.28066666666666651</c:v>
                </c:pt>
                <c:pt idx="2">
                  <c:v>0.28066666666666651</c:v>
                </c:pt>
                <c:pt idx="3">
                  <c:v>0.28066666666666651</c:v>
                </c:pt>
                <c:pt idx="4">
                  <c:v>0.28066666666666651</c:v>
                </c:pt>
                <c:pt idx="5">
                  <c:v>0.28066666666666651</c:v>
                </c:pt>
                <c:pt idx="6">
                  <c:v>0.28066666666666651</c:v>
                </c:pt>
                <c:pt idx="7">
                  <c:v>0.28066666666666651</c:v>
                </c:pt>
                <c:pt idx="8">
                  <c:v>0.28066666666666651</c:v>
                </c:pt>
                <c:pt idx="9">
                  <c:v>0.28066666666666651</c:v>
                </c:pt>
                <c:pt idx="10">
                  <c:v>0.28066666666666651</c:v>
                </c:pt>
                <c:pt idx="11">
                  <c:v>0.28066666666666651</c:v>
                </c:pt>
                <c:pt idx="12">
                  <c:v>0.28066666666666651</c:v>
                </c:pt>
                <c:pt idx="13">
                  <c:v>0.28066666666666651</c:v>
                </c:pt>
                <c:pt idx="14">
                  <c:v>0.28066666666666651</c:v>
                </c:pt>
              </c:numCache>
            </c:numRef>
          </c:val>
          <c:smooth val="0"/>
          <c:extLst>
            <c:ext xmlns:c16="http://schemas.microsoft.com/office/drawing/2014/chart" uri="{C3380CC4-5D6E-409C-BE32-E72D297353CC}">
              <c16:uniqueId val="{00000001-A2F1-5C40-82EC-1E597E0846A9}"/>
            </c:ext>
          </c:extLst>
        </c:ser>
        <c:ser>
          <c:idx val="2"/>
          <c:order val="2"/>
          <c:tx>
            <c:strRef>
              <c:f>'Grafica procesos X-R'!$O$5</c:f>
              <c:strCache>
                <c:ptCount val="1"/>
                <c:pt idx="0">
                  <c:v>LCS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val>
            <c:numRef>
              <c:f>'Grafica procesos X-R'!$O$6:$O$20</c:f>
              <c:numCache>
                <c:formatCode>General</c:formatCode>
                <c:ptCount val="15"/>
                <c:pt idx="0">
                  <c:v>0.59332933333333293</c:v>
                </c:pt>
                <c:pt idx="1">
                  <c:v>0.59332933333333293</c:v>
                </c:pt>
                <c:pt idx="2">
                  <c:v>0.59332933333333293</c:v>
                </c:pt>
                <c:pt idx="3">
                  <c:v>0.59332933333333293</c:v>
                </c:pt>
                <c:pt idx="4">
                  <c:v>0.59332933333333293</c:v>
                </c:pt>
                <c:pt idx="5">
                  <c:v>0.59332933333333293</c:v>
                </c:pt>
                <c:pt idx="6">
                  <c:v>0.59332933333333293</c:v>
                </c:pt>
                <c:pt idx="7">
                  <c:v>0.59332933333333293</c:v>
                </c:pt>
                <c:pt idx="8">
                  <c:v>0.59332933333333293</c:v>
                </c:pt>
                <c:pt idx="9">
                  <c:v>0.59332933333333293</c:v>
                </c:pt>
                <c:pt idx="10">
                  <c:v>0.59332933333333293</c:v>
                </c:pt>
                <c:pt idx="11">
                  <c:v>0.59332933333333293</c:v>
                </c:pt>
                <c:pt idx="12">
                  <c:v>0.59332933333333293</c:v>
                </c:pt>
                <c:pt idx="13">
                  <c:v>0.59332933333333293</c:v>
                </c:pt>
                <c:pt idx="14">
                  <c:v>0.59332933333333293</c:v>
                </c:pt>
              </c:numCache>
            </c:numRef>
          </c:val>
          <c:smooth val="0"/>
          <c:extLst>
            <c:ext xmlns:c16="http://schemas.microsoft.com/office/drawing/2014/chart" uri="{C3380CC4-5D6E-409C-BE32-E72D297353CC}">
              <c16:uniqueId val="{00000002-A2F1-5C40-82EC-1E597E0846A9}"/>
            </c:ext>
          </c:extLst>
        </c:ser>
        <c:ser>
          <c:idx val="3"/>
          <c:order val="3"/>
          <c:tx>
            <c:strRef>
              <c:f>'Grafica procesos X-R'!$P$5</c:f>
              <c:strCache>
                <c:ptCount val="1"/>
                <c:pt idx="0">
                  <c:v>LC1</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val>
            <c:numRef>
              <c:f>'Grafica procesos X-R'!$P$6:$P$20</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mooth val="0"/>
          <c:extLst>
            <c:ext xmlns:c16="http://schemas.microsoft.com/office/drawing/2014/chart" uri="{C3380CC4-5D6E-409C-BE32-E72D297353CC}">
              <c16:uniqueId val="{00000003-A2F1-5C40-82EC-1E597E0846A9}"/>
            </c:ext>
          </c:extLst>
        </c:ser>
        <c:dLbls>
          <c:showLegendKey val="0"/>
          <c:showVal val="0"/>
          <c:showCatName val="0"/>
          <c:showSerName val="0"/>
          <c:showPercent val="0"/>
          <c:showBubbleSize val="0"/>
        </c:dLbls>
        <c:marker val="1"/>
        <c:smooth val="0"/>
        <c:axId val="129352832"/>
        <c:axId val="129354752"/>
      </c:lineChart>
      <c:catAx>
        <c:axId val="12935283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354752"/>
        <c:crosses val="autoZero"/>
        <c:auto val="1"/>
        <c:lblAlgn val="ctr"/>
        <c:lblOffset val="100"/>
        <c:noMultiLvlLbl val="0"/>
      </c:catAx>
      <c:valAx>
        <c:axId val="129354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352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Pareto</a:t>
            </a:r>
            <a:r>
              <a:rPr lang="en-US" baseline="0"/>
              <a:t> de la demanda de los productos</a:t>
            </a:r>
            <a:endParaRPr lang="en-US"/>
          </a:p>
        </c:rich>
      </c:tx>
      <c:overlay val="0"/>
    </c:title>
    <c:autoTitleDeleted val="0"/>
    <c:plotArea>
      <c:layout/>
      <c:barChart>
        <c:barDir val="col"/>
        <c:grouping val="clustered"/>
        <c:varyColors val="0"/>
        <c:ser>
          <c:idx val="0"/>
          <c:order val="0"/>
          <c:tx>
            <c:strRef>
              <c:f>'takt time'!$C$14</c:f>
              <c:strCache>
                <c:ptCount val="1"/>
                <c:pt idx="0">
                  <c:v>Demanda</c:v>
                </c:pt>
              </c:strCache>
            </c:strRef>
          </c:tx>
          <c:invertIfNegative val="0"/>
          <c:cat>
            <c:strRef>
              <c:f>'takt time'!$B$15:$B$19</c:f>
              <c:strCache>
                <c:ptCount val="5"/>
                <c:pt idx="0">
                  <c:v>PRODUCTO 1</c:v>
                </c:pt>
                <c:pt idx="1">
                  <c:v>PRODUCTO 2</c:v>
                </c:pt>
                <c:pt idx="2">
                  <c:v>PRODUCTO 3</c:v>
                </c:pt>
                <c:pt idx="3">
                  <c:v>PRODUCTO 4</c:v>
                </c:pt>
                <c:pt idx="4">
                  <c:v>PRODUCTO 5</c:v>
                </c:pt>
              </c:strCache>
            </c:strRef>
          </c:cat>
          <c:val>
            <c:numRef>
              <c:f>'takt time'!$C$15:$C$19</c:f>
              <c:numCache>
                <c:formatCode>General</c:formatCode>
                <c:ptCount val="5"/>
                <c:pt idx="0">
                  <c:v>800</c:v>
                </c:pt>
                <c:pt idx="1">
                  <c:v>750</c:v>
                </c:pt>
                <c:pt idx="2">
                  <c:v>600</c:v>
                </c:pt>
                <c:pt idx="3">
                  <c:v>500</c:v>
                </c:pt>
                <c:pt idx="4">
                  <c:v>350</c:v>
                </c:pt>
              </c:numCache>
            </c:numRef>
          </c:val>
          <c:extLst>
            <c:ext xmlns:c16="http://schemas.microsoft.com/office/drawing/2014/chart" uri="{C3380CC4-5D6E-409C-BE32-E72D297353CC}">
              <c16:uniqueId val="{00000000-983C-0146-98BC-8B57673DC9E3}"/>
            </c:ext>
          </c:extLst>
        </c:ser>
        <c:dLbls>
          <c:showLegendKey val="0"/>
          <c:showVal val="0"/>
          <c:showCatName val="0"/>
          <c:showSerName val="0"/>
          <c:showPercent val="0"/>
          <c:showBubbleSize val="0"/>
        </c:dLbls>
        <c:gapWidth val="150"/>
        <c:axId val="138370048"/>
        <c:axId val="138371840"/>
      </c:barChart>
      <c:lineChart>
        <c:grouping val="stacked"/>
        <c:varyColors val="0"/>
        <c:ser>
          <c:idx val="1"/>
          <c:order val="1"/>
          <c:tx>
            <c:strRef>
              <c:f>'takt time'!$D$14</c:f>
              <c:strCache>
                <c:ptCount val="1"/>
                <c:pt idx="0">
                  <c:v>porcentaje acumulado</c:v>
                </c:pt>
              </c:strCache>
            </c:strRef>
          </c:tx>
          <c:cat>
            <c:strRef>
              <c:f>'takt time'!$B$15:$B$19</c:f>
              <c:strCache>
                <c:ptCount val="5"/>
                <c:pt idx="0">
                  <c:v>PRODUCTO 1</c:v>
                </c:pt>
                <c:pt idx="1">
                  <c:v>PRODUCTO 2</c:v>
                </c:pt>
                <c:pt idx="2">
                  <c:v>PRODUCTO 3</c:v>
                </c:pt>
                <c:pt idx="3">
                  <c:v>PRODUCTO 4</c:v>
                </c:pt>
                <c:pt idx="4">
                  <c:v>PRODUCTO 5</c:v>
                </c:pt>
              </c:strCache>
            </c:strRef>
          </c:cat>
          <c:val>
            <c:numRef>
              <c:f>'takt time'!$D$15:$D$19</c:f>
              <c:numCache>
                <c:formatCode>0%</c:formatCode>
                <c:ptCount val="5"/>
                <c:pt idx="0">
                  <c:v>0.26666666666666666</c:v>
                </c:pt>
                <c:pt idx="1">
                  <c:v>0.51666666666666661</c:v>
                </c:pt>
                <c:pt idx="2">
                  <c:v>0.71666666666666656</c:v>
                </c:pt>
                <c:pt idx="3">
                  <c:v>0.88333333333333319</c:v>
                </c:pt>
                <c:pt idx="4">
                  <c:v>0.99999999999999989</c:v>
                </c:pt>
              </c:numCache>
            </c:numRef>
          </c:val>
          <c:smooth val="0"/>
          <c:extLst>
            <c:ext xmlns:c16="http://schemas.microsoft.com/office/drawing/2014/chart" uri="{C3380CC4-5D6E-409C-BE32-E72D297353CC}">
              <c16:uniqueId val="{00000001-983C-0146-98BC-8B57673DC9E3}"/>
            </c:ext>
          </c:extLst>
        </c:ser>
        <c:dLbls>
          <c:showLegendKey val="0"/>
          <c:showVal val="0"/>
          <c:showCatName val="0"/>
          <c:showSerName val="0"/>
          <c:showPercent val="0"/>
          <c:showBubbleSize val="0"/>
        </c:dLbls>
        <c:marker val="1"/>
        <c:smooth val="0"/>
        <c:axId val="138379264"/>
        <c:axId val="138373376"/>
      </c:lineChart>
      <c:catAx>
        <c:axId val="138370048"/>
        <c:scaling>
          <c:orientation val="minMax"/>
        </c:scaling>
        <c:delete val="0"/>
        <c:axPos val="b"/>
        <c:numFmt formatCode="General" sourceLinked="0"/>
        <c:majorTickMark val="none"/>
        <c:minorTickMark val="none"/>
        <c:tickLblPos val="nextTo"/>
        <c:crossAx val="138371840"/>
        <c:crosses val="autoZero"/>
        <c:auto val="1"/>
        <c:lblAlgn val="ctr"/>
        <c:lblOffset val="100"/>
        <c:noMultiLvlLbl val="0"/>
      </c:catAx>
      <c:valAx>
        <c:axId val="138371840"/>
        <c:scaling>
          <c:orientation val="minMax"/>
        </c:scaling>
        <c:delete val="0"/>
        <c:axPos val="l"/>
        <c:majorGridlines/>
        <c:numFmt formatCode="General" sourceLinked="1"/>
        <c:majorTickMark val="out"/>
        <c:minorTickMark val="none"/>
        <c:tickLblPos val="nextTo"/>
        <c:crossAx val="138370048"/>
        <c:crosses val="autoZero"/>
        <c:crossBetween val="between"/>
      </c:valAx>
      <c:valAx>
        <c:axId val="138373376"/>
        <c:scaling>
          <c:orientation val="minMax"/>
        </c:scaling>
        <c:delete val="0"/>
        <c:axPos val="r"/>
        <c:numFmt formatCode="0%" sourceLinked="1"/>
        <c:majorTickMark val="out"/>
        <c:minorTickMark val="none"/>
        <c:tickLblPos val="nextTo"/>
        <c:crossAx val="138379264"/>
        <c:crosses val="max"/>
        <c:crossBetween val="between"/>
      </c:valAx>
      <c:catAx>
        <c:axId val="138379264"/>
        <c:scaling>
          <c:orientation val="minMax"/>
        </c:scaling>
        <c:delete val="1"/>
        <c:axPos val="b"/>
        <c:numFmt formatCode="General" sourceLinked="1"/>
        <c:majorTickMark val="out"/>
        <c:minorTickMark val="none"/>
        <c:tickLblPos val="nextTo"/>
        <c:crossAx val="138373376"/>
        <c:crosses val="autoZero"/>
        <c:auto val="1"/>
        <c:lblAlgn val="ctr"/>
        <c:lblOffset val="100"/>
        <c:noMultiLvlLbl val="0"/>
      </c:catAx>
    </c:plotArea>
    <c:legend>
      <c:legendPos val="r"/>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9"/>
    </mc:Choice>
    <mc:Fallback>
      <c:style val="29"/>
    </mc:Fallback>
  </mc:AlternateContent>
  <c:chart>
    <c:title>
      <c:tx>
        <c:rich>
          <a:bodyPr/>
          <a:lstStyle/>
          <a:p>
            <a:pPr>
              <a:defRPr/>
            </a:pPr>
            <a:r>
              <a:rPr lang="es-MX"/>
              <a:t>utilización</a:t>
            </a:r>
          </a:p>
        </c:rich>
      </c:tx>
      <c:overlay val="0"/>
    </c:title>
    <c:autoTitleDeleted val="0"/>
    <c:plotArea>
      <c:layout/>
      <c:barChart>
        <c:barDir val="col"/>
        <c:grouping val="clustered"/>
        <c:varyColors val="0"/>
        <c:ser>
          <c:idx val="0"/>
          <c:order val="0"/>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'diagrama hombre maquina'!$D$43:$D$47</c:f>
              <c:strCache>
                <c:ptCount val="5"/>
                <c:pt idx="0">
                  <c:v>Operario 1</c:v>
                </c:pt>
                <c:pt idx="1">
                  <c:v>Operario 2</c:v>
                </c:pt>
                <c:pt idx="2">
                  <c:v>Máquina 1</c:v>
                </c:pt>
                <c:pt idx="3">
                  <c:v>Máquina 2</c:v>
                </c:pt>
                <c:pt idx="4">
                  <c:v>Máquina 3</c:v>
                </c:pt>
              </c:strCache>
            </c:strRef>
          </c:cat>
          <c:val>
            <c:numRef>
              <c:f>'diagrama hombre maquina'!$E$43:$E$48</c:f>
              <c:numCache>
                <c:formatCode>General</c:formatCode>
                <c:ptCount val="6"/>
              </c:numCache>
            </c:numRef>
          </c:val>
          <c:extLst>
            <c:ext xmlns:c16="http://schemas.microsoft.com/office/drawing/2014/chart" uri="{C3380CC4-5D6E-409C-BE32-E72D297353CC}">
              <c16:uniqueId val="{00000000-1F74-4046-9B14-DE214BD5BFDE}"/>
            </c:ext>
          </c:extLst>
        </c:ser>
        <c:ser>
          <c:idx val="1"/>
          <c:order val="1"/>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'diagrama hombre maquina'!$D$43:$D$47</c:f>
              <c:strCache>
                <c:ptCount val="5"/>
                <c:pt idx="0">
                  <c:v>Operario 1</c:v>
                </c:pt>
                <c:pt idx="1">
                  <c:v>Operario 2</c:v>
                </c:pt>
                <c:pt idx="2">
                  <c:v>Máquina 1</c:v>
                </c:pt>
                <c:pt idx="3">
                  <c:v>Máquina 2</c:v>
                </c:pt>
                <c:pt idx="4">
                  <c:v>Máquina 3</c:v>
                </c:pt>
              </c:strCache>
            </c:strRef>
          </c:cat>
          <c:val>
            <c:numRef>
              <c:f>'diagrama hombre maquina'!$K$43:$K$47</c:f>
              <c:numCache>
                <c:formatCode>0.0%</c:formatCode>
                <c:ptCount val="5"/>
                <c:pt idx="0">
                  <c:v>0.83333333333333337</c:v>
                </c:pt>
                <c:pt idx="1">
                  <c:v>0.41666666666666669</c:v>
                </c:pt>
                <c:pt idx="2">
                  <c:v>0.66666666666666663</c:v>
                </c:pt>
                <c:pt idx="3">
                  <c:v>0.66666666666666663</c:v>
                </c:pt>
                <c:pt idx="4">
                  <c:v>0.66666666666666663</c:v>
                </c:pt>
              </c:numCache>
            </c:numRef>
          </c:val>
          <c:extLst>
            <c:ext xmlns:c16="http://schemas.microsoft.com/office/drawing/2014/chart" uri="{C3380CC4-5D6E-409C-BE32-E72D297353CC}">
              <c16:uniqueId val="{00000001-1F74-4046-9B14-DE214BD5BFDE}"/>
            </c:ext>
          </c:extLst>
        </c:ser>
        <c:ser>
          <c:idx val="2"/>
          <c:order val="2"/>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'diagrama hombre maquina'!$D$43:$D$47</c:f>
              <c:strCache>
                <c:ptCount val="5"/>
                <c:pt idx="0">
                  <c:v>Operario 1</c:v>
                </c:pt>
                <c:pt idx="1">
                  <c:v>Operario 2</c:v>
                </c:pt>
                <c:pt idx="2">
                  <c:v>Máquina 1</c:v>
                </c:pt>
                <c:pt idx="3">
                  <c:v>Máquina 2</c:v>
                </c:pt>
                <c:pt idx="4">
                  <c:v>Máquina 3</c:v>
                </c:pt>
              </c:strCache>
            </c:strRef>
          </c:cat>
          <c:val>
            <c:numRef>
              <c:f>'diagrama hombre maquina'!$L$43:$L$48</c:f>
              <c:numCache>
                <c:formatCode>0.0%</c:formatCode>
                <c:ptCount val="6"/>
              </c:numCache>
            </c:numRef>
          </c:val>
          <c:extLst>
            <c:ext xmlns:c16="http://schemas.microsoft.com/office/drawing/2014/chart" uri="{C3380CC4-5D6E-409C-BE32-E72D297353CC}">
              <c16:uniqueId val="{00000002-1F74-4046-9B14-DE214BD5BFDE}"/>
            </c:ext>
          </c:extLst>
        </c:ser>
        <c:ser>
          <c:idx val="3"/>
          <c:order val="3"/>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'diagrama hombre maquina'!$D$43:$D$47</c:f>
              <c:strCache>
                <c:ptCount val="5"/>
                <c:pt idx="0">
                  <c:v>Operario 1</c:v>
                </c:pt>
                <c:pt idx="1">
                  <c:v>Operario 2</c:v>
                </c:pt>
                <c:pt idx="2">
                  <c:v>Máquina 1</c:v>
                </c:pt>
                <c:pt idx="3">
                  <c:v>Máquina 2</c:v>
                </c:pt>
                <c:pt idx="4">
                  <c:v>Máquina 3</c:v>
                </c:pt>
              </c:strCache>
            </c:strRef>
          </c:cat>
          <c:val>
            <c:numRef>
              <c:f>'diagrama hombre maquina'!$M$43:$M$48</c:f>
              <c:numCache>
                <c:formatCode>0.0%</c:formatCode>
                <c:ptCount val="6"/>
              </c:numCache>
            </c:numRef>
          </c:val>
          <c:extLst>
            <c:ext xmlns:c16="http://schemas.microsoft.com/office/drawing/2014/chart" uri="{C3380CC4-5D6E-409C-BE32-E72D297353CC}">
              <c16:uniqueId val="{00000003-1F74-4046-9B14-DE214BD5BFDE}"/>
            </c:ext>
          </c:extLst>
        </c:ser>
        <c:ser>
          <c:idx val="4"/>
          <c:order val="4"/>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'diagrama hombre maquina'!$D$43:$D$47</c:f>
              <c:strCache>
                <c:ptCount val="5"/>
                <c:pt idx="0">
                  <c:v>Operario 1</c:v>
                </c:pt>
                <c:pt idx="1">
                  <c:v>Operario 2</c:v>
                </c:pt>
                <c:pt idx="2">
                  <c:v>Máquina 1</c:v>
                </c:pt>
                <c:pt idx="3">
                  <c:v>Máquina 2</c:v>
                </c:pt>
                <c:pt idx="4">
                  <c:v>Máquina 3</c:v>
                </c:pt>
              </c:strCache>
            </c:strRef>
          </c:cat>
          <c:val>
            <c:numRef>
              <c:f>'diagrama hombre maquina'!$N$43:$N$48</c:f>
              <c:numCache>
                <c:formatCode>0.0%</c:formatCode>
                <c:ptCount val="6"/>
              </c:numCache>
            </c:numRef>
          </c:val>
          <c:extLst>
            <c:ext xmlns:c16="http://schemas.microsoft.com/office/drawing/2014/chart" uri="{C3380CC4-5D6E-409C-BE32-E72D297353CC}">
              <c16:uniqueId val="{00000004-1F74-4046-9B14-DE214BD5BFDE}"/>
            </c:ext>
          </c:extLst>
        </c:ser>
        <c:dLbls>
          <c:showLegendKey val="0"/>
          <c:showVal val="1"/>
          <c:showCatName val="0"/>
          <c:showSerName val="0"/>
          <c:showPercent val="0"/>
          <c:showBubbleSize val="0"/>
        </c:dLbls>
        <c:gapWidth val="150"/>
        <c:overlap val="-25"/>
        <c:axId val="138678272"/>
        <c:axId val="138679808"/>
      </c:barChart>
      <c:catAx>
        <c:axId val="138678272"/>
        <c:scaling>
          <c:orientation val="minMax"/>
        </c:scaling>
        <c:delete val="0"/>
        <c:axPos val="b"/>
        <c:numFmt formatCode="General" sourceLinked="0"/>
        <c:majorTickMark val="none"/>
        <c:minorTickMark val="none"/>
        <c:tickLblPos val="nextTo"/>
        <c:crossAx val="138679808"/>
        <c:crosses val="autoZero"/>
        <c:auto val="1"/>
        <c:lblAlgn val="ctr"/>
        <c:lblOffset val="100"/>
        <c:noMultiLvlLbl val="0"/>
      </c:catAx>
      <c:valAx>
        <c:axId val="138679808"/>
        <c:scaling>
          <c:orientation val="minMax"/>
        </c:scaling>
        <c:delete val="1"/>
        <c:axPos val="l"/>
        <c:numFmt formatCode="General" sourceLinked="1"/>
        <c:majorTickMark val="none"/>
        <c:minorTickMark val="none"/>
        <c:tickLblPos val="nextTo"/>
        <c:crossAx val="138678272"/>
        <c:crosses val="autoZero"/>
        <c:crossBetween val="between"/>
      </c:valAx>
    </c:plotArea>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CP!$G$2</c:f>
              <c:strCache>
                <c:ptCount val="1"/>
                <c:pt idx="0">
                  <c:v>media</c:v>
                </c:pt>
              </c:strCache>
            </c:strRef>
          </c:tx>
          <c:marker>
            <c:symbol val="none"/>
          </c:marker>
          <c:val>
            <c:numRef>
              <c:f>CP!$G$3:$G$32</c:f>
              <c:numCache>
                <c:formatCode>General</c:formatCode>
                <c:ptCount val="30"/>
                <c:pt idx="0">
                  <c:v>541</c:v>
                </c:pt>
                <c:pt idx="1">
                  <c:v>543.20000000000005</c:v>
                </c:pt>
                <c:pt idx="2">
                  <c:v>540.20000000000005</c:v>
                </c:pt>
                <c:pt idx="3">
                  <c:v>538.4</c:v>
                </c:pt>
                <c:pt idx="4">
                  <c:v>540.6</c:v>
                </c:pt>
                <c:pt idx="5">
                  <c:v>533.79999999999995</c:v>
                </c:pt>
                <c:pt idx="6">
                  <c:v>538.20000000000005</c:v>
                </c:pt>
                <c:pt idx="7">
                  <c:v>536.4</c:v>
                </c:pt>
                <c:pt idx="8">
                  <c:v>543</c:v>
                </c:pt>
                <c:pt idx="9">
                  <c:v>540</c:v>
                </c:pt>
                <c:pt idx="10">
                  <c:v>541.79999999999995</c:v>
                </c:pt>
                <c:pt idx="11">
                  <c:v>541</c:v>
                </c:pt>
                <c:pt idx="12">
                  <c:v>537.6</c:v>
                </c:pt>
                <c:pt idx="13">
                  <c:v>538.4</c:v>
                </c:pt>
                <c:pt idx="14">
                  <c:v>536.20000000000005</c:v>
                </c:pt>
                <c:pt idx="15">
                  <c:v>540.6</c:v>
                </c:pt>
                <c:pt idx="16">
                  <c:v>539.79999999999995</c:v>
                </c:pt>
                <c:pt idx="17">
                  <c:v>541.20000000000005</c:v>
                </c:pt>
                <c:pt idx="18">
                  <c:v>539.6</c:v>
                </c:pt>
                <c:pt idx="19">
                  <c:v>539.4</c:v>
                </c:pt>
                <c:pt idx="20">
                  <c:v>539.4</c:v>
                </c:pt>
                <c:pt idx="21">
                  <c:v>539.6</c:v>
                </c:pt>
                <c:pt idx="22">
                  <c:v>538.6</c:v>
                </c:pt>
                <c:pt idx="23">
                  <c:v>538</c:v>
                </c:pt>
                <c:pt idx="24">
                  <c:v>537.4</c:v>
                </c:pt>
                <c:pt idx="25">
                  <c:v>540.4</c:v>
                </c:pt>
                <c:pt idx="26">
                  <c:v>538.20000000000005</c:v>
                </c:pt>
                <c:pt idx="27">
                  <c:v>543.4</c:v>
                </c:pt>
                <c:pt idx="28">
                  <c:v>538.79999999999995</c:v>
                </c:pt>
                <c:pt idx="29">
                  <c:v>539.6</c:v>
                </c:pt>
              </c:numCache>
            </c:numRef>
          </c:val>
          <c:smooth val="0"/>
          <c:extLst>
            <c:ext xmlns:c16="http://schemas.microsoft.com/office/drawing/2014/chart" uri="{C3380CC4-5D6E-409C-BE32-E72D297353CC}">
              <c16:uniqueId val="{00000000-B010-1F41-9FA7-CAC1C887F470}"/>
            </c:ext>
          </c:extLst>
        </c:ser>
        <c:ser>
          <c:idx val="1"/>
          <c:order val="1"/>
          <c:tx>
            <c:strRef>
              <c:f>CP!$H$2</c:f>
              <c:strCache>
                <c:ptCount val="1"/>
                <c:pt idx="0">
                  <c:v>LSE</c:v>
                </c:pt>
              </c:strCache>
            </c:strRef>
          </c:tx>
          <c:marker>
            <c:symbol val="none"/>
          </c:marker>
          <c:val>
            <c:numRef>
              <c:f>CP!$H$3:$H$32</c:f>
              <c:numCache>
                <c:formatCode>General</c:formatCode>
                <c:ptCount val="30"/>
                <c:pt idx="0">
                  <c:v>558</c:v>
                </c:pt>
                <c:pt idx="1">
                  <c:v>558</c:v>
                </c:pt>
                <c:pt idx="2">
                  <c:v>558</c:v>
                </c:pt>
                <c:pt idx="3">
                  <c:v>558</c:v>
                </c:pt>
                <c:pt idx="4">
                  <c:v>558</c:v>
                </c:pt>
                <c:pt idx="5">
                  <c:v>558</c:v>
                </c:pt>
                <c:pt idx="6">
                  <c:v>558</c:v>
                </c:pt>
                <c:pt idx="7">
                  <c:v>558</c:v>
                </c:pt>
                <c:pt idx="8">
                  <c:v>558</c:v>
                </c:pt>
                <c:pt idx="9">
                  <c:v>558</c:v>
                </c:pt>
                <c:pt idx="10">
                  <c:v>558</c:v>
                </c:pt>
                <c:pt idx="11">
                  <c:v>558</c:v>
                </c:pt>
                <c:pt idx="12">
                  <c:v>558</c:v>
                </c:pt>
                <c:pt idx="13">
                  <c:v>558</c:v>
                </c:pt>
                <c:pt idx="14">
                  <c:v>558</c:v>
                </c:pt>
                <c:pt idx="15">
                  <c:v>558</c:v>
                </c:pt>
                <c:pt idx="16">
                  <c:v>558</c:v>
                </c:pt>
                <c:pt idx="17">
                  <c:v>558</c:v>
                </c:pt>
                <c:pt idx="18">
                  <c:v>558</c:v>
                </c:pt>
                <c:pt idx="19">
                  <c:v>558</c:v>
                </c:pt>
                <c:pt idx="20">
                  <c:v>558</c:v>
                </c:pt>
                <c:pt idx="21">
                  <c:v>558</c:v>
                </c:pt>
                <c:pt idx="22">
                  <c:v>558</c:v>
                </c:pt>
                <c:pt idx="23">
                  <c:v>558</c:v>
                </c:pt>
                <c:pt idx="24">
                  <c:v>558</c:v>
                </c:pt>
                <c:pt idx="25">
                  <c:v>558</c:v>
                </c:pt>
                <c:pt idx="26">
                  <c:v>558</c:v>
                </c:pt>
                <c:pt idx="27">
                  <c:v>558</c:v>
                </c:pt>
                <c:pt idx="28">
                  <c:v>558</c:v>
                </c:pt>
                <c:pt idx="29">
                  <c:v>558</c:v>
                </c:pt>
              </c:numCache>
            </c:numRef>
          </c:val>
          <c:smooth val="0"/>
          <c:extLst>
            <c:ext xmlns:c16="http://schemas.microsoft.com/office/drawing/2014/chart" uri="{C3380CC4-5D6E-409C-BE32-E72D297353CC}">
              <c16:uniqueId val="{00000001-B010-1F41-9FA7-CAC1C887F470}"/>
            </c:ext>
          </c:extLst>
        </c:ser>
        <c:ser>
          <c:idx val="2"/>
          <c:order val="2"/>
          <c:tx>
            <c:strRef>
              <c:f>CP!$I$2</c:f>
              <c:strCache>
                <c:ptCount val="1"/>
                <c:pt idx="0">
                  <c:v>LIE</c:v>
                </c:pt>
              </c:strCache>
            </c:strRef>
          </c:tx>
          <c:marker>
            <c:symbol val="none"/>
          </c:marker>
          <c:val>
            <c:numRef>
              <c:f>CP!$I$3:$I$32</c:f>
              <c:numCache>
                <c:formatCode>General</c:formatCode>
                <c:ptCount val="30"/>
                <c:pt idx="0">
                  <c:v>525</c:v>
                </c:pt>
                <c:pt idx="1">
                  <c:v>525</c:v>
                </c:pt>
                <c:pt idx="2">
                  <c:v>525</c:v>
                </c:pt>
                <c:pt idx="3">
                  <c:v>525</c:v>
                </c:pt>
                <c:pt idx="4">
                  <c:v>525</c:v>
                </c:pt>
                <c:pt idx="5">
                  <c:v>525</c:v>
                </c:pt>
                <c:pt idx="6">
                  <c:v>525</c:v>
                </c:pt>
                <c:pt idx="7">
                  <c:v>525</c:v>
                </c:pt>
                <c:pt idx="8">
                  <c:v>525</c:v>
                </c:pt>
                <c:pt idx="9">
                  <c:v>525</c:v>
                </c:pt>
                <c:pt idx="10">
                  <c:v>525</c:v>
                </c:pt>
                <c:pt idx="11">
                  <c:v>525</c:v>
                </c:pt>
                <c:pt idx="12">
                  <c:v>525</c:v>
                </c:pt>
                <c:pt idx="13">
                  <c:v>525</c:v>
                </c:pt>
                <c:pt idx="14">
                  <c:v>525</c:v>
                </c:pt>
                <c:pt idx="15">
                  <c:v>525</c:v>
                </c:pt>
                <c:pt idx="16">
                  <c:v>525</c:v>
                </c:pt>
                <c:pt idx="17">
                  <c:v>525</c:v>
                </c:pt>
                <c:pt idx="18">
                  <c:v>525</c:v>
                </c:pt>
                <c:pt idx="19">
                  <c:v>525</c:v>
                </c:pt>
                <c:pt idx="20">
                  <c:v>525</c:v>
                </c:pt>
                <c:pt idx="21">
                  <c:v>525</c:v>
                </c:pt>
                <c:pt idx="22">
                  <c:v>525</c:v>
                </c:pt>
                <c:pt idx="23">
                  <c:v>525</c:v>
                </c:pt>
                <c:pt idx="24">
                  <c:v>525</c:v>
                </c:pt>
                <c:pt idx="25">
                  <c:v>525</c:v>
                </c:pt>
                <c:pt idx="26">
                  <c:v>525</c:v>
                </c:pt>
                <c:pt idx="27">
                  <c:v>525</c:v>
                </c:pt>
                <c:pt idx="28">
                  <c:v>525</c:v>
                </c:pt>
                <c:pt idx="29">
                  <c:v>525</c:v>
                </c:pt>
              </c:numCache>
            </c:numRef>
          </c:val>
          <c:smooth val="0"/>
          <c:extLst>
            <c:ext xmlns:c16="http://schemas.microsoft.com/office/drawing/2014/chart" uri="{C3380CC4-5D6E-409C-BE32-E72D297353CC}">
              <c16:uniqueId val="{00000002-B010-1F41-9FA7-CAC1C887F470}"/>
            </c:ext>
          </c:extLst>
        </c:ser>
        <c:dLbls>
          <c:showLegendKey val="0"/>
          <c:showVal val="0"/>
          <c:showCatName val="0"/>
          <c:showSerName val="0"/>
          <c:showPercent val="0"/>
          <c:showBubbleSize val="0"/>
        </c:dLbls>
        <c:smooth val="0"/>
        <c:axId val="138726784"/>
        <c:axId val="138732672"/>
      </c:lineChart>
      <c:catAx>
        <c:axId val="138726784"/>
        <c:scaling>
          <c:orientation val="minMax"/>
        </c:scaling>
        <c:delete val="0"/>
        <c:axPos val="b"/>
        <c:majorTickMark val="out"/>
        <c:minorTickMark val="none"/>
        <c:tickLblPos val="nextTo"/>
        <c:crossAx val="138732672"/>
        <c:crosses val="autoZero"/>
        <c:auto val="1"/>
        <c:lblAlgn val="ctr"/>
        <c:lblOffset val="100"/>
        <c:noMultiLvlLbl val="0"/>
      </c:catAx>
      <c:valAx>
        <c:axId val="138732672"/>
        <c:scaling>
          <c:orientation val="minMax"/>
        </c:scaling>
        <c:delete val="0"/>
        <c:axPos val="l"/>
        <c:majorGridlines/>
        <c:numFmt formatCode="General" sourceLinked="1"/>
        <c:majorTickMark val="out"/>
        <c:minorTickMark val="none"/>
        <c:tickLblPos val="nextTo"/>
        <c:crossAx val="138726784"/>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35"/>
    </mc:Choice>
    <mc:Fallback>
      <c:style val="35"/>
    </mc:Fallback>
  </mc:AlternateContent>
  <c:chart>
    <c:title>
      <c:overlay val="0"/>
    </c:title>
    <c:autoTitleDeleted val="0"/>
    <c:plotArea>
      <c:layout/>
      <c:scatterChart>
        <c:scatterStyle val="lineMarker"/>
        <c:varyColors val="0"/>
        <c:ser>
          <c:idx val="0"/>
          <c:order val="0"/>
          <c:tx>
            <c:strRef>
              <c:f>'Diagrama de correlacion'!$C$6</c:f>
              <c:strCache>
                <c:ptCount val="1"/>
                <c:pt idx="0">
                  <c:v>Dureza</c:v>
                </c:pt>
              </c:strCache>
            </c:strRef>
          </c:tx>
          <c:spPr>
            <a:ln w="47625">
              <a:noFill/>
            </a:ln>
          </c:spPr>
          <c:trendline>
            <c:trendlineType val="linear"/>
            <c:dispRSqr val="1"/>
            <c:dispEq val="1"/>
            <c:trendlineLbl>
              <c:numFmt formatCode="General" sourceLinked="0"/>
            </c:trendlineLbl>
          </c:trendline>
          <c:xVal>
            <c:numRef>
              <c:f>'Diagrama de correlacion'!$B$7:$B$17</c:f>
              <c:numCache>
                <c:formatCode>General</c:formatCode>
                <c:ptCount val="11"/>
                <c:pt idx="0">
                  <c:v>10</c:v>
                </c:pt>
                <c:pt idx="1">
                  <c:v>11</c:v>
                </c:pt>
                <c:pt idx="2">
                  <c:v>12</c:v>
                </c:pt>
                <c:pt idx="3">
                  <c:v>13</c:v>
                </c:pt>
                <c:pt idx="4">
                  <c:v>14</c:v>
                </c:pt>
                <c:pt idx="5">
                  <c:v>15</c:v>
                </c:pt>
                <c:pt idx="6">
                  <c:v>16</c:v>
                </c:pt>
                <c:pt idx="7">
                  <c:v>17</c:v>
                </c:pt>
                <c:pt idx="8">
                  <c:v>18</c:v>
                </c:pt>
                <c:pt idx="9">
                  <c:v>19</c:v>
                </c:pt>
                <c:pt idx="10">
                  <c:v>20</c:v>
                </c:pt>
              </c:numCache>
            </c:numRef>
          </c:xVal>
          <c:yVal>
            <c:numRef>
              <c:f>'Diagrama de correlacion'!$C$7:$C$17</c:f>
              <c:numCache>
                <c:formatCode>General</c:formatCode>
                <c:ptCount val="11"/>
                <c:pt idx="0">
                  <c:v>4.5</c:v>
                </c:pt>
                <c:pt idx="1">
                  <c:v>4.2</c:v>
                </c:pt>
                <c:pt idx="2">
                  <c:v>3.8</c:v>
                </c:pt>
                <c:pt idx="3">
                  <c:v>3.6</c:v>
                </c:pt>
                <c:pt idx="4">
                  <c:v>3.4</c:v>
                </c:pt>
                <c:pt idx="5">
                  <c:v>3</c:v>
                </c:pt>
                <c:pt idx="6">
                  <c:v>2.9</c:v>
                </c:pt>
                <c:pt idx="7">
                  <c:v>2.4</c:v>
                </c:pt>
                <c:pt idx="8">
                  <c:v>2.2000000000000002</c:v>
                </c:pt>
                <c:pt idx="9">
                  <c:v>2.1</c:v>
                </c:pt>
                <c:pt idx="10">
                  <c:v>1.8</c:v>
                </c:pt>
              </c:numCache>
            </c:numRef>
          </c:yVal>
          <c:smooth val="0"/>
          <c:extLst>
            <c:ext xmlns:c16="http://schemas.microsoft.com/office/drawing/2014/chart" uri="{C3380CC4-5D6E-409C-BE32-E72D297353CC}">
              <c16:uniqueId val="{00000001-1459-D341-BB53-5C27D3836A8B}"/>
            </c:ext>
          </c:extLst>
        </c:ser>
        <c:dLbls>
          <c:showLegendKey val="0"/>
          <c:showVal val="0"/>
          <c:showCatName val="0"/>
          <c:showSerName val="0"/>
          <c:showPercent val="0"/>
          <c:showBubbleSize val="0"/>
        </c:dLbls>
        <c:axId val="139243520"/>
        <c:axId val="139245056"/>
      </c:scatterChart>
      <c:valAx>
        <c:axId val="139243520"/>
        <c:scaling>
          <c:orientation val="minMax"/>
        </c:scaling>
        <c:delete val="0"/>
        <c:axPos val="b"/>
        <c:numFmt formatCode="General" sourceLinked="1"/>
        <c:majorTickMark val="out"/>
        <c:minorTickMark val="none"/>
        <c:tickLblPos val="nextTo"/>
        <c:crossAx val="139245056"/>
        <c:crosses val="autoZero"/>
        <c:crossBetween val="midCat"/>
      </c:valAx>
      <c:valAx>
        <c:axId val="139245056"/>
        <c:scaling>
          <c:orientation val="minMax"/>
        </c:scaling>
        <c:delete val="0"/>
        <c:axPos val="l"/>
        <c:majorGridlines/>
        <c:numFmt formatCode="General" sourceLinked="1"/>
        <c:majorTickMark val="out"/>
        <c:minorTickMark val="none"/>
        <c:tickLblPos val="nextTo"/>
        <c:crossAx val="13924352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pPr>
            <a:r>
              <a:rPr lang="es-MX"/>
              <a:t>EFECTIVIDAD POR MAQUINA</a:t>
            </a:r>
          </a:p>
        </c:rich>
      </c:tx>
      <c:overlay val="0"/>
    </c:title>
    <c:autoTitleDeleted val="0"/>
    <c:plotArea>
      <c:layout/>
      <c:barChart>
        <c:barDir val="col"/>
        <c:grouping val="clustered"/>
        <c:varyColors val="0"/>
        <c:ser>
          <c:idx val="0"/>
          <c:order val="0"/>
          <c:tx>
            <c:strRef>
              <c:f>OEE!$N$5</c:f>
              <c:strCache>
                <c:ptCount val="1"/>
                <c:pt idx="0">
                  <c:v>DISPONIBILIDAD</c:v>
                </c:pt>
              </c:strCache>
            </c:strRef>
          </c:tx>
          <c:invertIfNegative val="0"/>
          <c:cat>
            <c:numRef>
              <c:f>OEE!$A$6:$A$11</c:f>
              <c:numCache>
                <c:formatCode>General</c:formatCode>
                <c:ptCount val="6"/>
                <c:pt idx="0">
                  <c:v>1</c:v>
                </c:pt>
                <c:pt idx="2">
                  <c:v>2</c:v>
                </c:pt>
                <c:pt idx="4">
                  <c:v>3</c:v>
                </c:pt>
              </c:numCache>
            </c:numRef>
          </c:cat>
          <c:val>
            <c:numRef>
              <c:f>OEE!$N$6:$N$11</c:f>
              <c:numCache>
                <c:formatCode>0%</c:formatCode>
                <c:ptCount val="6"/>
                <c:pt idx="0">
                  <c:v>0.96344086021505382</c:v>
                </c:pt>
                <c:pt idx="2">
                  <c:v>0.967741935483871</c:v>
                </c:pt>
                <c:pt idx="4">
                  <c:v>0.956989247311828</c:v>
                </c:pt>
              </c:numCache>
            </c:numRef>
          </c:val>
          <c:extLst>
            <c:ext xmlns:c16="http://schemas.microsoft.com/office/drawing/2014/chart" uri="{C3380CC4-5D6E-409C-BE32-E72D297353CC}">
              <c16:uniqueId val="{00000000-9783-864E-AD8F-0E5455CD6233}"/>
            </c:ext>
          </c:extLst>
        </c:ser>
        <c:ser>
          <c:idx val="1"/>
          <c:order val="1"/>
          <c:tx>
            <c:strRef>
              <c:f>OEE!$O$5</c:f>
              <c:strCache>
                <c:ptCount val="1"/>
                <c:pt idx="0">
                  <c:v>EFICIENCIA</c:v>
                </c:pt>
              </c:strCache>
            </c:strRef>
          </c:tx>
          <c:invertIfNegative val="0"/>
          <c:cat>
            <c:numRef>
              <c:f>OEE!$A$6:$A$11</c:f>
              <c:numCache>
                <c:formatCode>General</c:formatCode>
                <c:ptCount val="6"/>
                <c:pt idx="0">
                  <c:v>1</c:v>
                </c:pt>
                <c:pt idx="2">
                  <c:v>2</c:v>
                </c:pt>
                <c:pt idx="4">
                  <c:v>3</c:v>
                </c:pt>
              </c:numCache>
            </c:numRef>
          </c:cat>
          <c:val>
            <c:numRef>
              <c:f>OEE!$O$6:$O$11</c:f>
              <c:numCache>
                <c:formatCode>0%</c:formatCode>
                <c:ptCount val="6"/>
                <c:pt idx="0">
                  <c:v>0.95</c:v>
                </c:pt>
                <c:pt idx="2">
                  <c:v>0.8</c:v>
                </c:pt>
                <c:pt idx="4">
                  <c:v>0.88</c:v>
                </c:pt>
              </c:numCache>
            </c:numRef>
          </c:val>
          <c:extLst>
            <c:ext xmlns:c16="http://schemas.microsoft.com/office/drawing/2014/chart" uri="{C3380CC4-5D6E-409C-BE32-E72D297353CC}">
              <c16:uniqueId val="{00000001-9783-864E-AD8F-0E5455CD6233}"/>
            </c:ext>
          </c:extLst>
        </c:ser>
        <c:ser>
          <c:idx val="2"/>
          <c:order val="2"/>
          <c:tx>
            <c:strRef>
              <c:f>OEE!$P$5</c:f>
              <c:strCache>
                <c:ptCount val="1"/>
                <c:pt idx="0">
                  <c:v>CALIDAD</c:v>
                </c:pt>
              </c:strCache>
            </c:strRef>
          </c:tx>
          <c:invertIfNegative val="0"/>
          <c:cat>
            <c:numRef>
              <c:f>OEE!$A$6:$A$11</c:f>
              <c:numCache>
                <c:formatCode>General</c:formatCode>
                <c:ptCount val="6"/>
                <c:pt idx="0">
                  <c:v>1</c:v>
                </c:pt>
                <c:pt idx="2">
                  <c:v>2</c:v>
                </c:pt>
                <c:pt idx="4">
                  <c:v>3</c:v>
                </c:pt>
              </c:numCache>
            </c:numRef>
          </c:cat>
          <c:val>
            <c:numRef>
              <c:f>OEE!$P$6:$P$11</c:f>
              <c:numCache>
                <c:formatCode>0%</c:formatCode>
                <c:ptCount val="6"/>
                <c:pt idx="0">
                  <c:v>0.96842105263157896</c:v>
                </c:pt>
                <c:pt idx="2">
                  <c:v>0.95</c:v>
                </c:pt>
                <c:pt idx="4">
                  <c:v>0.94318181818181823</c:v>
                </c:pt>
              </c:numCache>
            </c:numRef>
          </c:val>
          <c:extLst>
            <c:ext xmlns:c16="http://schemas.microsoft.com/office/drawing/2014/chart" uri="{C3380CC4-5D6E-409C-BE32-E72D297353CC}">
              <c16:uniqueId val="{00000002-9783-864E-AD8F-0E5455CD6233}"/>
            </c:ext>
          </c:extLst>
        </c:ser>
        <c:dLbls>
          <c:showLegendKey val="0"/>
          <c:showVal val="0"/>
          <c:showCatName val="0"/>
          <c:showSerName val="0"/>
          <c:showPercent val="0"/>
          <c:showBubbleSize val="0"/>
        </c:dLbls>
        <c:gapWidth val="150"/>
        <c:axId val="139403648"/>
        <c:axId val="139405184"/>
      </c:barChart>
      <c:catAx>
        <c:axId val="139403648"/>
        <c:scaling>
          <c:orientation val="minMax"/>
        </c:scaling>
        <c:delete val="0"/>
        <c:axPos val="b"/>
        <c:numFmt formatCode="General" sourceLinked="1"/>
        <c:majorTickMark val="none"/>
        <c:minorTickMark val="none"/>
        <c:tickLblPos val="nextTo"/>
        <c:crossAx val="139405184"/>
        <c:crosses val="autoZero"/>
        <c:auto val="1"/>
        <c:lblAlgn val="ctr"/>
        <c:lblOffset val="100"/>
        <c:noMultiLvlLbl val="0"/>
      </c:catAx>
      <c:valAx>
        <c:axId val="139405184"/>
        <c:scaling>
          <c:orientation val="minMax"/>
        </c:scaling>
        <c:delete val="0"/>
        <c:axPos val="l"/>
        <c:majorGridlines/>
        <c:numFmt formatCode="0%" sourceLinked="1"/>
        <c:majorTickMark val="none"/>
        <c:minorTickMark val="none"/>
        <c:tickLblPos val="nextTo"/>
        <c:crossAx val="139403648"/>
        <c:crosses val="autoZero"/>
        <c:crossBetween val="between"/>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34"/>
    </mc:Choice>
    <mc:Fallback>
      <c:style val="34"/>
    </mc:Fallback>
  </mc:AlternateContent>
  <c:chart>
    <c:title>
      <c:overlay val="0"/>
    </c:title>
    <c:autoTitleDeleted val="0"/>
    <c:plotArea>
      <c:layout/>
      <c:barChart>
        <c:barDir val="col"/>
        <c:grouping val="clustered"/>
        <c:varyColors val="0"/>
        <c:ser>
          <c:idx val="1"/>
          <c:order val="0"/>
          <c:tx>
            <c:strRef>
              <c:f>OEE!$Q$5</c:f>
              <c:strCache>
                <c:ptCount val="1"/>
                <c:pt idx="0">
                  <c:v>OEE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OEE!$A$6:$A$11</c:f>
              <c:numCache>
                <c:formatCode>General</c:formatCode>
                <c:ptCount val="6"/>
                <c:pt idx="0">
                  <c:v>1</c:v>
                </c:pt>
                <c:pt idx="2">
                  <c:v>2</c:v>
                </c:pt>
                <c:pt idx="4">
                  <c:v>3</c:v>
                </c:pt>
              </c:numCache>
            </c:numRef>
          </c:cat>
          <c:val>
            <c:numRef>
              <c:f>OEE!$Q$6:$Q$11</c:f>
              <c:numCache>
                <c:formatCode>0%</c:formatCode>
                <c:ptCount val="6"/>
                <c:pt idx="0">
                  <c:v>0.88636559139784954</c:v>
                </c:pt>
                <c:pt idx="2">
                  <c:v>0.73548387096774204</c:v>
                </c:pt>
                <c:pt idx="4">
                  <c:v>0.79430107526881721</c:v>
                </c:pt>
              </c:numCache>
            </c:numRef>
          </c:val>
          <c:extLst>
            <c:ext xmlns:c16="http://schemas.microsoft.com/office/drawing/2014/chart" uri="{C3380CC4-5D6E-409C-BE32-E72D297353CC}">
              <c16:uniqueId val="{00000000-BA64-F64D-BFD4-F6FC5B923517}"/>
            </c:ext>
          </c:extLst>
        </c:ser>
        <c:dLbls>
          <c:showLegendKey val="0"/>
          <c:showVal val="0"/>
          <c:showCatName val="0"/>
          <c:showSerName val="0"/>
          <c:showPercent val="0"/>
          <c:showBubbleSize val="0"/>
        </c:dLbls>
        <c:gapWidth val="0"/>
        <c:axId val="139427200"/>
        <c:axId val="139433472"/>
      </c:barChart>
      <c:catAx>
        <c:axId val="139427200"/>
        <c:scaling>
          <c:orientation val="minMax"/>
        </c:scaling>
        <c:delete val="0"/>
        <c:axPos val="b"/>
        <c:title>
          <c:tx>
            <c:rich>
              <a:bodyPr/>
              <a:lstStyle/>
              <a:p>
                <a:pPr>
                  <a:defRPr/>
                </a:pPr>
                <a:r>
                  <a:rPr lang="es-MX"/>
                  <a:t>maquinas</a:t>
                </a:r>
              </a:p>
            </c:rich>
          </c:tx>
          <c:overlay val="0"/>
        </c:title>
        <c:numFmt formatCode="General" sourceLinked="1"/>
        <c:majorTickMark val="none"/>
        <c:minorTickMark val="none"/>
        <c:tickLblPos val="nextTo"/>
        <c:crossAx val="139433472"/>
        <c:crosses val="autoZero"/>
        <c:auto val="1"/>
        <c:lblAlgn val="ctr"/>
        <c:lblOffset val="100"/>
        <c:noMultiLvlLbl val="0"/>
      </c:catAx>
      <c:valAx>
        <c:axId val="139433472"/>
        <c:scaling>
          <c:orientation val="minMax"/>
        </c:scaling>
        <c:delete val="0"/>
        <c:axPos val="l"/>
        <c:title>
          <c:tx>
            <c:rich>
              <a:bodyPr/>
              <a:lstStyle/>
              <a:p>
                <a:pPr>
                  <a:defRPr/>
                </a:pPr>
                <a:r>
                  <a:rPr lang="es-MX"/>
                  <a:t>Porcentaje OEE</a:t>
                </a:r>
              </a:p>
            </c:rich>
          </c:tx>
          <c:overlay val="0"/>
        </c:title>
        <c:numFmt formatCode="0.00%" sourceLinked="0"/>
        <c:majorTickMark val="out"/>
        <c:minorTickMark val="none"/>
        <c:tickLblPos val="nextTo"/>
        <c:crossAx val="139427200"/>
        <c:crosses val="autoZero"/>
        <c:crossBetween val="between"/>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file:///C:\Users\home\AppData\Roaming\Microsoft\Excel\XLSTART/header/envelope.png" TargetMode="External"/><Relationship Id="rId4" Type="http://schemas.openxmlformats.org/officeDocument/2006/relationships/hyperlink" Target="http://planillaexcel.com/contactanos?ref=spreadsheet_contact"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image" Target="../media/image1.jpg"/><Relationship Id="rId1" Type="http://schemas.openxmlformats.org/officeDocument/2006/relationships/chart" Target="../charts/chart13.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14</xdr:col>
      <xdr:colOff>331933</xdr:colOff>
      <xdr:row>0</xdr:row>
      <xdr:rowOff>144318</xdr:rowOff>
    </xdr:from>
    <xdr:to>
      <xdr:col>18</xdr:col>
      <xdr:colOff>721592</xdr:colOff>
      <xdr:row>10</xdr:row>
      <xdr:rowOff>57729</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288636</xdr:colOff>
      <xdr:row>10</xdr:row>
      <xdr:rowOff>447385</xdr:rowOff>
    </xdr:from>
    <xdr:to>
      <xdr:col>19</xdr:col>
      <xdr:colOff>750455</xdr:colOff>
      <xdr:row>19</xdr:row>
      <xdr:rowOff>72158</xdr:rowOff>
    </xdr:to>
    <xdr:graphicFrame macro="">
      <xdr:nvGraphicFramePr>
        <xdr:cNvPr id="3" name="2 Gráfico">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317501</xdr:colOff>
      <xdr:row>20</xdr:row>
      <xdr:rowOff>187614</xdr:rowOff>
    </xdr:from>
    <xdr:to>
      <xdr:col>19</xdr:col>
      <xdr:colOff>663865</xdr:colOff>
      <xdr:row>33</xdr:row>
      <xdr:rowOff>115457</xdr:rowOff>
    </xdr:to>
    <xdr:graphicFrame macro="">
      <xdr:nvGraphicFramePr>
        <xdr:cNvPr id="4" name="3 Gráfico">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7</xdr:col>
      <xdr:colOff>500784</xdr:colOff>
      <xdr:row>0</xdr:row>
      <xdr:rowOff>152400</xdr:rowOff>
    </xdr:from>
    <xdr:to>
      <xdr:col>7</xdr:col>
      <xdr:colOff>653184</xdr:colOff>
      <xdr:row>1</xdr:row>
      <xdr:rowOff>117186</xdr:rowOff>
    </xdr:to>
    <xdr:pic>
      <xdr:nvPicPr>
        <xdr:cNvPr id="6" name="mailIcon">
          <a:hlinkClick xmlns:r="http://schemas.openxmlformats.org/officeDocument/2006/relationships" r:id="rId4"/>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link="rId5"/>
        <a:stretch>
          <a:fillRect/>
        </a:stretch>
      </xdr:blipFill>
      <xdr:spPr>
        <a:xfrm>
          <a:off x="10244859" y="152400"/>
          <a:ext cx="152400" cy="155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23</xdr:row>
      <xdr:rowOff>118381</xdr:rowOff>
    </xdr:from>
    <xdr:to>
      <xdr:col>25</xdr:col>
      <xdr:colOff>209550</xdr:colOff>
      <xdr:row>55</xdr:row>
      <xdr:rowOff>166687</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57150</xdr:colOff>
      <xdr:row>24</xdr:row>
      <xdr:rowOff>71437</xdr:rowOff>
    </xdr:from>
    <xdr:to>
      <xdr:col>14</xdr:col>
      <xdr:colOff>733425</xdr:colOff>
      <xdr:row>38</xdr:row>
      <xdr:rowOff>147637</xdr:rowOff>
    </xdr:to>
    <xdr:graphicFrame macro="">
      <xdr:nvGraphicFramePr>
        <xdr:cNvPr id="2" name="1 Gráfico">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419100</xdr:colOff>
      <xdr:row>12</xdr:row>
      <xdr:rowOff>33336</xdr:rowOff>
    </xdr:from>
    <xdr:to>
      <xdr:col>11</xdr:col>
      <xdr:colOff>495300</xdr:colOff>
      <xdr:row>32</xdr:row>
      <xdr:rowOff>95249</xdr:rowOff>
    </xdr:to>
    <xdr:graphicFrame macro="">
      <xdr:nvGraphicFramePr>
        <xdr:cNvPr id="2" name="1 Gráfico">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381000</xdr:colOff>
      <xdr:row>14</xdr:row>
      <xdr:rowOff>176212</xdr:rowOff>
    </xdr:from>
    <xdr:to>
      <xdr:col>18</xdr:col>
      <xdr:colOff>381000</xdr:colOff>
      <xdr:row>29</xdr:row>
      <xdr:rowOff>61912</xdr:rowOff>
    </xdr:to>
    <xdr:graphicFrame macro="">
      <xdr:nvGraphicFramePr>
        <xdr:cNvPr id="3" name="2 Gráfico">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31</xdr:row>
      <xdr:rowOff>9524</xdr:rowOff>
    </xdr:from>
    <xdr:to>
      <xdr:col>16</xdr:col>
      <xdr:colOff>85725</xdr:colOff>
      <xdr:row>47</xdr:row>
      <xdr:rowOff>190499</xdr:rowOff>
    </xdr:to>
    <xdr:graphicFrame macro="">
      <xdr:nvGraphicFramePr>
        <xdr:cNvPr id="2" name="1 Gráfico">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76201</xdr:colOff>
      <xdr:row>31</xdr:row>
      <xdr:rowOff>9525</xdr:rowOff>
    </xdr:from>
    <xdr:to>
      <xdr:col>31</xdr:col>
      <xdr:colOff>228601</xdr:colOff>
      <xdr:row>48</xdr:row>
      <xdr:rowOff>0</xdr:rowOff>
    </xdr:to>
    <xdr:graphicFrame macro="">
      <xdr:nvGraphicFramePr>
        <xdr:cNvPr id="3" name="2 Gráfico">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1</xdr:row>
      <xdr:rowOff>161924</xdr:rowOff>
    </xdr:from>
    <xdr:to>
      <xdr:col>17</xdr:col>
      <xdr:colOff>130970</xdr:colOff>
      <xdr:row>16</xdr:row>
      <xdr:rowOff>200025</xdr:rowOff>
    </xdr:to>
    <xdr:graphicFrame macro="">
      <xdr:nvGraphicFramePr>
        <xdr:cNvPr id="2" name="Gráfico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0</xdr:rowOff>
    </xdr:from>
    <xdr:to>
      <xdr:col>1</xdr:col>
      <xdr:colOff>3048000</xdr:colOff>
      <xdr:row>0</xdr:row>
      <xdr:rowOff>0</xdr:rowOff>
    </xdr:to>
    <xdr:sp macro="" textlink="">
      <xdr:nvSpPr>
        <xdr:cNvPr id="2" name="TextBox 1">
          <a:extLst>
            <a:ext uri="{FF2B5EF4-FFF2-40B4-BE49-F238E27FC236}">
              <a16:creationId xmlns:a16="http://schemas.microsoft.com/office/drawing/2014/main" id="{00000000-0008-0000-0200-000005000000}"/>
            </a:ext>
          </a:extLst>
        </xdr:cNvPr>
        <xdr:cNvSpPr txBox="1"/>
      </xdr:nvSpPr>
      <xdr:spPr>
        <a:xfrm>
          <a:off x="66675" y="120650"/>
          <a:ext cx="1457325" cy="69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i="0">
              <a:solidFill>
                <a:schemeClr val="bg1"/>
              </a:solidFill>
              <a:latin typeface="Arial" charset="0"/>
              <a:ea typeface="Arial" charset="0"/>
              <a:cs typeface="Arial" charset="0"/>
            </a:rPr>
            <a:t>PlanillaExcel.com</a:t>
          </a:r>
        </a:p>
      </xdr:txBody>
    </xdr:sp>
    <xdr:clientData/>
  </xdr:twoCellAnchor>
  <xdr:twoCellAnchor>
    <xdr:from>
      <xdr:col>0</xdr:col>
      <xdr:colOff>333374</xdr:colOff>
      <xdr:row>18</xdr:row>
      <xdr:rowOff>152400</xdr:rowOff>
    </xdr:from>
    <xdr:to>
      <xdr:col>3</xdr:col>
      <xdr:colOff>228600</xdr:colOff>
      <xdr:row>35</xdr:row>
      <xdr:rowOff>9525</xdr:rowOff>
    </xdr:to>
    <xdr:graphicFrame macro="">
      <xdr:nvGraphicFramePr>
        <xdr:cNvPr id="5"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361948</xdr:colOff>
      <xdr:row>18</xdr:row>
      <xdr:rowOff>152399</xdr:rowOff>
    </xdr:from>
    <xdr:to>
      <xdr:col>8</xdr:col>
      <xdr:colOff>733424</xdr:colOff>
      <xdr:row>34</xdr:row>
      <xdr:rowOff>180975</xdr:rowOff>
    </xdr:to>
    <xdr:graphicFrame macro="">
      <xdr:nvGraphicFramePr>
        <xdr:cNvPr id="6" name="Gráfico 9">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390525</xdr:colOff>
      <xdr:row>21</xdr:row>
      <xdr:rowOff>66676</xdr:rowOff>
    </xdr:from>
    <xdr:to>
      <xdr:col>9</xdr:col>
      <xdr:colOff>142875</xdr:colOff>
      <xdr:row>37</xdr:row>
      <xdr:rowOff>80963</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41</xdr:row>
      <xdr:rowOff>0</xdr:rowOff>
    </xdr:from>
    <xdr:to>
      <xdr:col>7</xdr:col>
      <xdr:colOff>278130</xdr:colOff>
      <xdr:row>61</xdr:row>
      <xdr:rowOff>33020</xdr:rowOff>
    </xdr:to>
    <xdr:pic>
      <xdr:nvPicPr>
        <xdr:cNvPr id="3" name="Imagen 3">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7820025"/>
          <a:ext cx="5612130" cy="3843020"/>
        </a:xfrm>
        <a:prstGeom prst="rect">
          <a:avLst/>
        </a:prstGeom>
      </xdr:spPr>
    </xdr:pic>
    <xdr:clientData/>
  </xdr:twoCellAnchor>
  <xdr:twoCellAnchor>
    <xdr:from>
      <xdr:col>10</xdr:col>
      <xdr:colOff>714375</xdr:colOff>
      <xdr:row>21</xdr:row>
      <xdr:rowOff>147637</xdr:rowOff>
    </xdr:from>
    <xdr:to>
      <xdr:col>16</xdr:col>
      <xdr:colOff>714375</xdr:colOff>
      <xdr:row>36</xdr:row>
      <xdr:rowOff>23812</xdr:rowOff>
    </xdr:to>
    <xdr:graphicFrame macro="">
      <xdr:nvGraphicFramePr>
        <xdr:cNvPr id="4" name="Gráfico 4">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57150</xdr:colOff>
      <xdr:row>13</xdr:row>
      <xdr:rowOff>19050</xdr:rowOff>
    </xdr:from>
    <xdr:to>
      <xdr:col>5</xdr:col>
      <xdr:colOff>190500</xdr:colOff>
      <xdr:row>13</xdr:row>
      <xdr:rowOff>152400</xdr:rowOff>
    </xdr:to>
    <xdr:sp macro="" textlink="">
      <xdr:nvSpPr>
        <xdr:cNvPr id="2" name="Oval 1">
          <a:extLst>
            <a:ext uri="{FF2B5EF4-FFF2-40B4-BE49-F238E27FC236}">
              <a16:creationId xmlns:a16="http://schemas.microsoft.com/office/drawing/2014/main" id="{00000000-0008-0000-0B00-000002000000}"/>
            </a:ext>
          </a:extLst>
        </xdr:cNvPr>
        <xdr:cNvSpPr/>
      </xdr:nvSpPr>
      <xdr:spPr>
        <a:xfrm>
          <a:off x="4314825" y="2819400"/>
          <a:ext cx="133350" cy="13335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57150</xdr:colOff>
      <xdr:row>13</xdr:row>
      <xdr:rowOff>19050</xdr:rowOff>
    </xdr:from>
    <xdr:to>
      <xdr:col>6</xdr:col>
      <xdr:colOff>190500</xdr:colOff>
      <xdr:row>13</xdr:row>
      <xdr:rowOff>152400</xdr:rowOff>
    </xdr:to>
    <xdr:sp macro="" textlink="">
      <xdr:nvSpPr>
        <xdr:cNvPr id="3" name="Rectangle 3">
          <a:extLst>
            <a:ext uri="{FF2B5EF4-FFF2-40B4-BE49-F238E27FC236}">
              <a16:creationId xmlns:a16="http://schemas.microsoft.com/office/drawing/2014/main" id="{00000000-0008-0000-0B00-000003000000}"/>
            </a:ext>
          </a:extLst>
        </xdr:cNvPr>
        <xdr:cNvSpPr/>
      </xdr:nvSpPr>
      <xdr:spPr>
        <a:xfrm>
          <a:off x="4552950" y="2819400"/>
          <a:ext cx="133350" cy="1333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7</xdr:col>
      <xdr:colOff>57150</xdr:colOff>
      <xdr:row>13</xdr:row>
      <xdr:rowOff>19050</xdr:rowOff>
    </xdr:from>
    <xdr:to>
      <xdr:col>7</xdr:col>
      <xdr:colOff>190500</xdr:colOff>
      <xdr:row>13</xdr:row>
      <xdr:rowOff>152400</xdr:rowOff>
    </xdr:to>
    <xdr:sp macro="" textlink="">
      <xdr:nvSpPr>
        <xdr:cNvPr id="4" name="Flowchart: Delay 4">
          <a:extLst>
            <a:ext uri="{FF2B5EF4-FFF2-40B4-BE49-F238E27FC236}">
              <a16:creationId xmlns:a16="http://schemas.microsoft.com/office/drawing/2014/main" id="{00000000-0008-0000-0B00-000004000000}"/>
            </a:ext>
          </a:extLst>
        </xdr:cNvPr>
        <xdr:cNvSpPr/>
      </xdr:nvSpPr>
      <xdr:spPr>
        <a:xfrm>
          <a:off x="4791075" y="2819400"/>
          <a:ext cx="133350" cy="133350"/>
        </a:xfrm>
        <a:prstGeom prst="flowChartDelay">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8</xdr:col>
      <xdr:colOff>57150</xdr:colOff>
      <xdr:row>13</xdr:row>
      <xdr:rowOff>28575</xdr:rowOff>
    </xdr:from>
    <xdr:to>
      <xdr:col>8</xdr:col>
      <xdr:colOff>190500</xdr:colOff>
      <xdr:row>14</xdr:row>
      <xdr:rowOff>0</xdr:rowOff>
    </xdr:to>
    <xdr:sp macro="" textlink="">
      <xdr:nvSpPr>
        <xdr:cNvPr id="5" name="Right Arrow 6">
          <a:extLst>
            <a:ext uri="{FF2B5EF4-FFF2-40B4-BE49-F238E27FC236}">
              <a16:creationId xmlns:a16="http://schemas.microsoft.com/office/drawing/2014/main" id="{00000000-0008-0000-0B00-000005000000}"/>
            </a:ext>
          </a:extLst>
        </xdr:cNvPr>
        <xdr:cNvSpPr/>
      </xdr:nvSpPr>
      <xdr:spPr>
        <a:xfrm>
          <a:off x="5029200" y="2828925"/>
          <a:ext cx="133350" cy="133350"/>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9</xdr:col>
      <xdr:colOff>38100</xdr:colOff>
      <xdr:row>13</xdr:row>
      <xdr:rowOff>19050</xdr:rowOff>
    </xdr:from>
    <xdr:to>
      <xdr:col>9</xdr:col>
      <xdr:colOff>171450</xdr:colOff>
      <xdr:row>13</xdr:row>
      <xdr:rowOff>152400</xdr:rowOff>
    </xdr:to>
    <xdr:sp macro="" textlink="">
      <xdr:nvSpPr>
        <xdr:cNvPr id="6" name="Flowchart: Merge 7">
          <a:extLst>
            <a:ext uri="{FF2B5EF4-FFF2-40B4-BE49-F238E27FC236}">
              <a16:creationId xmlns:a16="http://schemas.microsoft.com/office/drawing/2014/main" id="{00000000-0008-0000-0B00-000006000000}"/>
            </a:ext>
          </a:extLst>
        </xdr:cNvPr>
        <xdr:cNvSpPr/>
      </xdr:nvSpPr>
      <xdr:spPr>
        <a:xfrm>
          <a:off x="5248275" y="2819400"/>
          <a:ext cx="133350" cy="133350"/>
        </a:xfrm>
        <a:prstGeom prst="flowChartMerg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76200</xdr:colOff>
      <xdr:row>15</xdr:row>
      <xdr:rowOff>76200</xdr:rowOff>
    </xdr:from>
    <xdr:to>
      <xdr:col>4</xdr:col>
      <xdr:colOff>219075</xdr:colOff>
      <xdr:row>15</xdr:row>
      <xdr:rowOff>209550</xdr:rowOff>
    </xdr:to>
    <xdr:sp macro="" textlink="">
      <xdr:nvSpPr>
        <xdr:cNvPr id="2" name="AutoShape 5">
          <a:extLst>
            <a:ext uri="{FF2B5EF4-FFF2-40B4-BE49-F238E27FC236}">
              <a16:creationId xmlns:a16="http://schemas.microsoft.com/office/drawing/2014/main" id="{00000000-0008-0000-0C00-000002000000}"/>
            </a:ext>
          </a:extLst>
        </xdr:cNvPr>
        <xdr:cNvSpPr>
          <a:spLocks noChangeArrowheads="1"/>
        </xdr:cNvSpPr>
      </xdr:nvSpPr>
      <xdr:spPr bwMode="auto">
        <a:xfrm>
          <a:off x="3124200" y="2543175"/>
          <a:ext cx="142875" cy="133350"/>
        </a:xfrm>
        <a:prstGeom prst="flowChart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66675</xdr:colOff>
      <xdr:row>15</xdr:row>
      <xdr:rowOff>95250</xdr:rowOff>
    </xdr:from>
    <xdr:to>
      <xdr:col>5</xdr:col>
      <xdr:colOff>238125</xdr:colOff>
      <xdr:row>15</xdr:row>
      <xdr:rowOff>209550</xdr:rowOff>
    </xdr:to>
    <xdr:sp macro="" textlink="">
      <xdr:nvSpPr>
        <xdr:cNvPr id="3" name="AutoShape 6">
          <a:extLst>
            <a:ext uri="{FF2B5EF4-FFF2-40B4-BE49-F238E27FC236}">
              <a16:creationId xmlns:a16="http://schemas.microsoft.com/office/drawing/2014/main" id="{00000000-0008-0000-0C00-000003000000}"/>
            </a:ext>
          </a:extLst>
        </xdr:cNvPr>
        <xdr:cNvSpPr>
          <a:spLocks noChangeArrowheads="1"/>
        </xdr:cNvSpPr>
      </xdr:nvSpPr>
      <xdr:spPr bwMode="auto">
        <a:xfrm>
          <a:off x="3409950" y="2562225"/>
          <a:ext cx="171450" cy="114300"/>
        </a:xfrm>
        <a:prstGeom prst="rightArrow">
          <a:avLst>
            <a:gd name="adj1" fmla="val 50000"/>
            <a:gd name="adj2" fmla="val 37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95250</xdr:colOff>
      <xdr:row>15</xdr:row>
      <xdr:rowOff>76200</xdr:rowOff>
    </xdr:from>
    <xdr:to>
      <xdr:col>6</xdr:col>
      <xdr:colOff>200025</xdr:colOff>
      <xdr:row>15</xdr:row>
      <xdr:rowOff>219075</xdr:rowOff>
    </xdr:to>
    <xdr:sp macro="" textlink="">
      <xdr:nvSpPr>
        <xdr:cNvPr id="4" name="AutoShape 7">
          <a:extLst>
            <a:ext uri="{FF2B5EF4-FFF2-40B4-BE49-F238E27FC236}">
              <a16:creationId xmlns:a16="http://schemas.microsoft.com/office/drawing/2014/main" id="{00000000-0008-0000-0C00-000004000000}"/>
            </a:ext>
          </a:extLst>
        </xdr:cNvPr>
        <xdr:cNvSpPr>
          <a:spLocks noChangeArrowheads="1"/>
        </xdr:cNvSpPr>
      </xdr:nvSpPr>
      <xdr:spPr bwMode="auto">
        <a:xfrm>
          <a:off x="3714750" y="2543175"/>
          <a:ext cx="104775" cy="142875"/>
        </a:xfrm>
        <a:prstGeom prst="flowChartDelay">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38100</xdr:colOff>
      <xdr:row>15</xdr:row>
      <xdr:rowOff>76200</xdr:rowOff>
    </xdr:from>
    <xdr:to>
      <xdr:col>7</xdr:col>
      <xdr:colOff>190500</xdr:colOff>
      <xdr:row>15</xdr:row>
      <xdr:rowOff>238125</xdr:rowOff>
    </xdr:to>
    <xdr:sp macro="" textlink="">
      <xdr:nvSpPr>
        <xdr:cNvPr id="5" name="AutoShape 8">
          <a:extLst>
            <a:ext uri="{FF2B5EF4-FFF2-40B4-BE49-F238E27FC236}">
              <a16:creationId xmlns:a16="http://schemas.microsoft.com/office/drawing/2014/main" id="{00000000-0008-0000-0C00-000005000000}"/>
            </a:ext>
          </a:extLst>
        </xdr:cNvPr>
        <xdr:cNvSpPr>
          <a:spLocks noChangeArrowheads="1"/>
        </xdr:cNvSpPr>
      </xdr:nvSpPr>
      <xdr:spPr bwMode="auto">
        <a:xfrm>
          <a:off x="3924300" y="2543175"/>
          <a:ext cx="152400" cy="161925"/>
        </a:xfrm>
        <a:prstGeom prst="flowChartMerg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76200</xdr:colOff>
      <xdr:row>15</xdr:row>
      <xdr:rowOff>76200</xdr:rowOff>
    </xdr:from>
    <xdr:to>
      <xdr:col>8</xdr:col>
      <xdr:colOff>219075</xdr:colOff>
      <xdr:row>15</xdr:row>
      <xdr:rowOff>209550</xdr:rowOff>
    </xdr:to>
    <xdr:sp macro="" textlink="">
      <xdr:nvSpPr>
        <xdr:cNvPr id="6" name="AutoShape 9">
          <a:extLst>
            <a:ext uri="{FF2B5EF4-FFF2-40B4-BE49-F238E27FC236}">
              <a16:creationId xmlns:a16="http://schemas.microsoft.com/office/drawing/2014/main" id="{00000000-0008-0000-0C00-000006000000}"/>
            </a:ext>
          </a:extLst>
        </xdr:cNvPr>
        <xdr:cNvSpPr>
          <a:spLocks noChangeArrowheads="1"/>
        </xdr:cNvSpPr>
      </xdr:nvSpPr>
      <xdr:spPr bwMode="auto">
        <a:xfrm>
          <a:off x="4229100" y="2543175"/>
          <a:ext cx="142875" cy="133350"/>
        </a:xfrm>
        <a:prstGeom prst="flowChart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66675</xdr:colOff>
      <xdr:row>15</xdr:row>
      <xdr:rowOff>95250</xdr:rowOff>
    </xdr:from>
    <xdr:to>
      <xdr:col>9</xdr:col>
      <xdr:colOff>238125</xdr:colOff>
      <xdr:row>15</xdr:row>
      <xdr:rowOff>209550</xdr:rowOff>
    </xdr:to>
    <xdr:sp macro="" textlink="">
      <xdr:nvSpPr>
        <xdr:cNvPr id="7" name="AutoShape 10">
          <a:extLst>
            <a:ext uri="{FF2B5EF4-FFF2-40B4-BE49-F238E27FC236}">
              <a16:creationId xmlns:a16="http://schemas.microsoft.com/office/drawing/2014/main" id="{00000000-0008-0000-0C00-000007000000}"/>
            </a:ext>
          </a:extLst>
        </xdr:cNvPr>
        <xdr:cNvSpPr>
          <a:spLocks noChangeArrowheads="1"/>
        </xdr:cNvSpPr>
      </xdr:nvSpPr>
      <xdr:spPr bwMode="auto">
        <a:xfrm>
          <a:off x="4495800" y="2562225"/>
          <a:ext cx="171450" cy="114300"/>
        </a:xfrm>
        <a:prstGeom prst="rightArrow">
          <a:avLst>
            <a:gd name="adj1" fmla="val 50000"/>
            <a:gd name="adj2" fmla="val 37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95250</xdr:colOff>
      <xdr:row>15</xdr:row>
      <xdr:rowOff>76200</xdr:rowOff>
    </xdr:from>
    <xdr:to>
      <xdr:col>10</xdr:col>
      <xdr:colOff>200025</xdr:colOff>
      <xdr:row>15</xdr:row>
      <xdr:rowOff>219075</xdr:rowOff>
    </xdr:to>
    <xdr:sp macro="" textlink="">
      <xdr:nvSpPr>
        <xdr:cNvPr id="8" name="AutoShape 12">
          <a:extLst>
            <a:ext uri="{FF2B5EF4-FFF2-40B4-BE49-F238E27FC236}">
              <a16:creationId xmlns:a16="http://schemas.microsoft.com/office/drawing/2014/main" id="{00000000-0008-0000-0C00-000008000000}"/>
            </a:ext>
          </a:extLst>
        </xdr:cNvPr>
        <xdr:cNvSpPr>
          <a:spLocks noChangeArrowheads="1"/>
        </xdr:cNvSpPr>
      </xdr:nvSpPr>
      <xdr:spPr bwMode="auto">
        <a:xfrm>
          <a:off x="4800600" y="2543175"/>
          <a:ext cx="104775" cy="142875"/>
        </a:xfrm>
        <a:prstGeom prst="flowChartDelay">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47625</xdr:colOff>
      <xdr:row>15</xdr:row>
      <xdr:rowOff>76200</xdr:rowOff>
    </xdr:from>
    <xdr:to>
      <xdr:col>11</xdr:col>
      <xdr:colOff>200025</xdr:colOff>
      <xdr:row>15</xdr:row>
      <xdr:rowOff>238125</xdr:rowOff>
    </xdr:to>
    <xdr:sp macro="" textlink="">
      <xdr:nvSpPr>
        <xdr:cNvPr id="9" name="AutoShape 13">
          <a:extLst>
            <a:ext uri="{FF2B5EF4-FFF2-40B4-BE49-F238E27FC236}">
              <a16:creationId xmlns:a16="http://schemas.microsoft.com/office/drawing/2014/main" id="{00000000-0008-0000-0C00-000009000000}"/>
            </a:ext>
          </a:extLst>
        </xdr:cNvPr>
        <xdr:cNvSpPr>
          <a:spLocks noChangeArrowheads="1"/>
        </xdr:cNvSpPr>
      </xdr:nvSpPr>
      <xdr:spPr bwMode="auto">
        <a:xfrm>
          <a:off x="5057775" y="2543175"/>
          <a:ext cx="152400" cy="161925"/>
        </a:xfrm>
        <a:prstGeom prst="flowChartMerg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257174</xdr:colOff>
      <xdr:row>14</xdr:row>
      <xdr:rowOff>133349</xdr:rowOff>
    </xdr:from>
    <xdr:to>
      <xdr:col>10</xdr:col>
      <xdr:colOff>609599</xdr:colOff>
      <xdr:row>21</xdr:row>
      <xdr:rowOff>57149</xdr:rowOff>
    </xdr:to>
    <xdr:sp macro="" textlink="">
      <xdr:nvSpPr>
        <xdr:cNvPr id="2" name="Rectangle 1">
          <a:extLst>
            <a:ext uri="{FF2B5EF4-FFF2-40B4-BE49-F238E27FC236}">
              <a16:creationId xmlns:a16="http://schemas.microsoft.com/office/drawing/2014/main" id="{00000000-0008-0000-0D00-000002000000}"/>
            </a:ext>
          </a:extLst>
        </xdr:cNvPr>
        <xdr:cNvSpPr>
          <a:spLocks noChangeArrowheads="1"/>
        </xdr:cNvSpPr>
      </xdr:nvSpPr>
      <xdr:spPr bwMode="auto">
        <a:xfrm>
          <a:off x="6353174" y="2495549"/>
          <a:ext cx="1876425" cy="10572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nchor="ctr"/>
        <a:lstStyle/>
        <a:p>
          <a:pPr algn="ctr"/>
          <a:r>
            <a:rPr lang="es-MX" sz="1800"/>
            <a:t>efecto</a:t>
          </a:r>
        </a:p>
      </xdr:txBody>
    </xdr:sp>
    <xdr:clientData/>
  </xdr:twoCellAnchor>
  <xdr:twoCellAnchor>
    <xdr:from>
      <xdr:col>1</xdr:col>
      <xdr:colOff>209550</xdr:colOff>
      <xdr:row>17</xdr:row>
      <xdr:rowOff>142875</xdr:rowOff>
    </xdr:from>
    <xdr:to>
      <xdr:col>8</xdr:col>
      <xdr:colOff>266700</xdr:colOff>
      <xdr:row>17</xdr:row>
      <xdr:rowOff>142875</xdr:rowOff>
    </xdr:to>
    <xdr:sp macro="" textlink="">
      <xdr:nvSpPr>
        <xdr:cNvPr id="3" name="Line 2">
          <a:extLst>
            <a:ext uri="{FF2B5EF4-FFF2-40B4-BE49-F238E27FC236}">
              <a16:creationId xmlns:a16="http://schemas.microsoft.com/office/drawing/2014/main" id="{00000000-0008-0000-0D00-000003000000}"/>
            </a:ext>
          </a:extLst>
        </xdr:cNvPr>
        <xdr:cNvSpPr>
          <a:spLocks noChangeShapeType="1"/>
        </xdr:cNvSpPr>
      </xdr:nvSpPr>
      <xdr:spPr bwMode="auto">
        <a:xfrm flipH="1">
          <a:off x="971550" y="2990850"/>
          <a:ext cx="5391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752475</xdr:colOff>
      <xdr:row>7</xdr:row>
      <xdr:rowOff>38100</xdr:rowOff>
    </xdr:from>
    <xdr:to>
      <xdr:col>7</xdr:col>
      <xdr:colOff>409575</xdr:colOff>
      <xdr:row>17</xdr:row>
      <xdr:rowOff>133350</xdr:rowOff>
    </xdr:to>
    <xdr:sp macro="" textlink="">
      <xdr:nvSpPr>
        <xdr:cNvPr id="4" name="Line 3">
          <a:extLst>
            <a:ext uri="{FF2B5EF4-FFF2-40B4-BE49-F238E27FC236}">
              <a16:creationId xmlns:a16="http://schemas.microsoft.com/office/drawing/2014/main" id="{00000000-0008-0000-0D00-000004000000}"/>
            </a:ext>
          </a:extLst>
        </xdr:cNvPr>
        <xdr:cNvSpPr>
          <a:spLocks noChangeShapeType="1"/>
        </xdr:cNvSpPr>
      </xdr:nvSpPr>
      <xdr:spPr bwMode="auto">
        <a:xfrm flipH="1" flipV="1">
          <a:off x="4562475" y="1266825"/>
          <a:ext cx="1181100" cy="1714500"/>
        </a:xfrm>
        <a:prstGeom prst="line">
          <a:avLst/>
        </a:prstGeom>
        <a:ln>
          <a:headEnd/>
          <a:tailEnd/>
        </a:ln>
      </xdr:spPr>
      <xdr:style>
        <a:lnRef idx="1">
          <a:schemeClr val="dk1"/>
        </a:lnRef>
        <a:fillRef idx="0">
          <a:schemeClr val="dk1"/>
        </a:fillRef>
        <a:effectRef idx="0">
          <a:schemeClr val="dk1"/>
        </a:effectRef>
        <a:fontRef idx="minor">
          <a:schemeClr val="tx1"/>
        </a:fontRef>
      </xdr:style>
    </xdr:sp>
    <xdr:clientData/>
  </xdr:twoCellAnchor>
  <xdr:twoCellAnchor>
    <xdr:from>
      <xdr:col>4</xdr:col>
      <xdr:colOff>123824</xdr:colOff>
      <xdr:row>8</xdr:row>
      <xdr:rowOff>0</xdr:rowOff>
    </xdr:from>
    <xdr:to>
      <xdr:col>5</xdr:col>
      <xdr:colOff>342899</xdr:colOff>
      <xdr:row>17</xdr:row>
      <xdr:rowOff>142875</xdr:rowOff>
    </xdr:to>
    <xdr:sp macro="" textlink="">
      <xdr:nvSpPr>
        <xdr:cNvPr id="5" name="Line 4">
          <a:extLst>
            <a:ext uri="{FF2B5EF4-FFF2-40B4-BE49-F238E27FC236}">
              <a16:creationId xmlns:a16="http://schemas.microsoft.com/office/drawing/2014/main" id="{00000000-0008-0000-0D00-000005000000}"/>
            </a:ext>
          </a:extLst>
        </xdr:cNvPr>
        <xdr:cNvSpPr>
          <a:spLocks noChangeShapeType="1"/>
        </xdr:cNvSpPr>
      </xdr:nvSpPr>
      <xdr:spPr bwMode="auto">
        <a:xfrm flipH="1" flipV="1">
          <a:off x="3171824" y="1390650"/>
          <a:ext cx="981075" cy="1600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590550</xdr:colOff>
      <xdr:row>8</xdr:row>
      <xdr:rowOff>85724</xdr:rowOff>
    </xdr:from>
    <xdr:to>
      <xdr:col>3</xdr:col>
      <xdr:colOff>171450</xdr:colOff>
      <xdr:row>17</xdr:row>
      <xdr:rowOff>142874</xdr:rowOff>
    </xdr:to>
    <xdr:sp macro="" textlink="">
      <xdr:nvSpPr>
        <xdr:cNvPr id="6" name="Line 5">
          <a:extLst>
            <a:ext uri="{FF2B5EF4-FFF2-40B4-BE49-F238E27FC236}">
              <a16:creationId xmlns:a16="http://schemas.microsoft.com/office/drawing/2014/main" id="{00000000-0008-0000-0D00-000006000000}"/>
            </a:ext>
          </a:extLst>
        </xdr:cNvPr>
        <xdr:cNvSpPr>
          <a:spLocks noChangeShapeType="1"/>
        </xdr:cNvSpPr>
      </xdr:nvSpPr>
      <xdr:spPr bwMode="auto">
        <a:xfrm flipH="1" flipV="1">
          <a:off x="1352550" y="1476374"/>
          <a:ext cx="1104900" cy="1514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466724</xdr:colOff>
      <xdr:row>17</xdr:row>
      <xdr:rowOff>152399</xdr:rowOff>
    </xdr:from>
    <xdr:to>
      <xdr:col>7</xdr:col>
      <xdr:colOff>409574</xdr:colOff>
      <xdr:row>27</xdr:row>
      <xdr:rowOff>85724</xdr:rowOff>
    </xdr:to>
    <xdr:sp macro="" textlink="">
      <xdr:nvSpPr>
        <xdr:cNvPr id="7" name="Line 7">
          <a:extLst>
            <a:ext uri="{FF2B5EF4-FFF2-40B4-BE49-F238E27FC236}">
              <a16:creationId xmlns:a16="http://schemas.microsoft.com/office/drawing/2014/main" id="{00000000-0008-0000-0D00-000007000000}"/>
            </a:ext>
          </a:extLst>
        </xdr:cNvPr>
        <xdr:cNvSpPr>
          <a:spLocks noChangeShapeType="1"/>
        </xdr:cNvSpPr>
      </xdr:nvSpPr>
      <xdr:spPr bwMode="auto">
        <a:xfrm flipH="1">
          <a:off x="5038724" y="3000374"/>
          <a:ext cx="704850" cy="1552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228599</xdr:colOff>
      <xdr:row>17</xdr:row>
      <xdr:rowOff>152399</xdr:rowOff>
    </xdr:from>
    <xdr:to>
      <xdr:col>5</xdr:col>
      <xdr:colOff>323849</xdr:colOff>
      <xdr:row>27</xdr:row>
      <xdr:rowOff>47624</xdr:rowOff>
    </xdr:to>
    <xdr:sp macro="" textlink="">
      <xdr:nvSpPr>
        <xdr:cNvPr id="8" name="Line 9">
          <a:extLst>
            <a:ext uri="{FF2B5EF4-FFF2-40B4-BE49-F238E27FC236}">
              <a16:creationId xmlns:a16="http://schemas.microsoft.com/office/drawing/2014/main" id="{00000000-0008-0000-0D00-000008000000}"/>
            </a:ext>
          </a:extLst>
        </xdr:cNvPr>
        <xdr:cNvSpPr>
          <a:spLocks noChangeShapeType="1"/>
        </xdr:cNvSpPr>
      </xdr:nvSpPr>
      <xdr:spPr bwMode="auto">
        <a:xfrm flipH="1">
          <a:off x="3276599" y="3000374"/>
          <a:ext cx="857250" cy="1514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628650</xdr:colOff>
      <xdr:row>17</xdr:row>
      <xdr:rowOff>152399</xdr:rowOff>
    </xdr:from>
    <xdr:to>
      <xdr:col>3</xdr:col>
      <xdr:colOff>171450</xdr:colOff>
      <xdr:row>27</xdr:row>
      <xdr:rowOff>47624</xdr:rowOff>
    </xdr:to>
    <xdr:sp macro="" textlink="">
      <xdr:nvSpPr>
        <xdr:cNvPr id="9" name="Line 10">
          <a:extLst>
            <a:ext uri="{FF2B5EF4-FFF2-40B4-BE49-F238E27FC236}">
              <a16:creationId xmlns:a16="http://schemas.microsoft.com/office/drawing/2014/main" id="{00000000-0008-0000-0D00-000009000000}"/>
            </a:ext>
          </a:extLst>
        </xdr:cNvPr>
        <xdr:cNvSpPr>
          <a:spLocks noChangeShapeType="1"/>
        </xdr:cNvSpPr>
      </xdr:nvSpPr>
      <xdr:spPr bwMode="auto">
        <a:xfrm flipH="1">
          <a:off x="1390650" y="3000374"/>
          <a:ext cx="1066800" cy="1514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247649</xdr:colOff>
      <xdr:row>5</xdr:row>
      <xdr:rowOff>57150</xdr:rowOff>
    </xdr:from>
    <xdr:to>
      <xdr:col>6</xdr:col>
      <xdr:colOff>638174</xdr:colOff>
      <xdr:row>7</xdr:row>
      <xdr:rowOff>47625</xdr:rowOff>
    </xdr:to>
    <xdr:sp macro="" textlink="">
      <xdr:nvSpPr>
        <xdr:cNvPr id="10" name="9 Rectángulo">
          <a:extLst>
            <a:ext uri="{FF2B5EF4-FFF2-40B4-BE49-F238E27FC236}">
              <a16:creationId xmlns:a16="http://schemas.microsoft.com/office/drawing/2014/main" id="{00000000-0008-0000-0D00-00000A000000}"/>
            </a:ext>
          </a:extLst>
        </xdr:cNvPr>
        <xdr:cNvSpPr/>
      </xdr:nvSpPr>
      <xdr:spPr>
        <a:xfrm>
          <a:off x="4057649" y="962025"/>
          <a:ext cx="1152525" cy="3143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Metodo</a:t>
          </a:r>
        </a:p>
      </xdr:txBody>
    </xdr:sp>
    <xdr:clientData/>
  </xdr:twoCellAnchor>
  <xdr:twoCellAnchor>
    <xdr:from>
      <xdr:col>3</xdr:col>
      <xdr:colOff>266700</xdr:colOff>
      <xdr:row>5</xdr:row>
      <xdr:rowOff>152400</xdr:rowOff>
    </xdr:from>
    <xdr:to>
      <xdr:col>4</xdr:col>
      <xdr:colOff>657225</xdr:colOff>
      <xdr:row>7</xdr:row>
      <xdr:rowOff>142875</xdr:rowOff>
    </xdr:to>
    <xdr:sp macro="" textlink="">
      <xdr:nvSpPr>
        <xdr:cNvPr id="11" name="10 Rectángulo">
          <a:extLst>
            <a:ext uri="{FF2B5EF4-FFF2-40B4-BE49-F238E27FC236}">
              <a16:creationId xmlns:a16="http://schemas.microsoft.com/office/drawing/2014/main" id="{00000000-0008-0000-0D00-00000B000000}"/>
            </a:ext>
          </a:extLst>
        </xdr:cNvPr>
        <xdr:cNvSpPr/>
      </xdr:nvSpPr>
      <xdr:spPr>
        <a:xfrm>
          <a:off x="2552700" y="1057275"/>
          <a:ext cx="1152525" cy="3143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Maquinaria</a:t>
          </a:r>
        </a:p>
      </xdr:txBody>
    </xdr:sp>
    <xdr:clientData/>
  </xdr:twoCellAnchor>
  <xdr:twoCellAnchor>
    <xdr:from>
      <xdr:col>0</xdr:col>
      <xdr:colOff>752475</xdr:colOff>
      <xdr:row>6</xdr:row>
      <xdr:rowOff>66675</xdr:rowOff>
    </xdr:from>
    <xdr:to>
      <xdr:col>2</xdr:col>
      <xdr:colOff>381000</xdr:colOff>
      <xdr:row>8</xdr:row>
      <xdr:rowOff>57150</xdr:rowOff>
    </xdr:to>
    <xdr:sp macro="" textlink="">
      <xdr:nvSpPr>
        <xdr:cNvPr id="12" name="11 Rectángulo">
          <a:extLst>
            <a:ext uri="{FF2B5EF4-FFF2-40B4-BE49-F238E27FC236}">
              <a16:creationId xmlns:a16="http://schemas.microsoft.com/office/drawing/2014/main" id="{00000000-0008-0000-0D00-00000C000000}"/>
            </a:ext>
          </a:extLst>
        </xdr:cNvPr>
        <xdr:cNvSpPr/>
      </xdr:nvSpPr>
      <xdr:spPr>
        <a:xfrm>
          <a:off x="752475" y="1133475"/>
          <a:ext cx="1152525" cy="3143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Mano</a:t>
          </a:r>
          <a:r>
            <a:rPr lang="es-MX" sz="1100" baseline="0"/>
            <a:t> de obra</a:t>
          </a:r>
          <a:endParaRPr lang="es-MX" sz="1100"/>
        </a:p>
      </xdr:txBody>
    </xdr:sp>
    <xdr:clientData/>
  </xdr:twoCellAnchor>
  <xdr:twoCellAnchor>
    <xdr:from>
      <xdr:col>5</xdr:col>
      <xdr:colOff>676275</xdr:colOff>
      <xdr:row>27</xdr:row>
      <xdr:rowOff>114300</xdr:rowOff>
    </xdr:from>
    <xdr:to>
      <xdr:col>7</xdr:col>
      <xdr:colOff>304800</xdr:colOff>
      <xdr:row>29</xdr:row>
      <xdr:rowOff>104775</xdr:rowOff>
    </xdr:to>
    <xdr:sp macro="" textlink="">
      <xdr:nvSpPr>
        <xdr:cNvPr id="13" name="12 Rectángulo">
          <a:extLst>
            <a:ext uri="{FF2B5EF4-FFF2-40B4-BE49-F238E27FC236}">
              <a16:creationId xmlns:a16="http://schemas.microsoft.com/office/drawing/2014/main" id="{00000000-0008-0000-0D00-00000D000000}"/>
            </a:ext>
          </a:extLst>
        </xdr:cNvPr>
        <xdr:cNvSpPr/>
      </xdr:nvSpPr>
      <xdr:spPr>
        <a:xfrm>
          <a:off x="4486275" y="4581525"/>
          <a:ext cx="1152525" cy="3143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Materia prima</a:t>
          </a:r>
        </a:p>
      </xdr:txBody>
    </xdr:sp>
    <xdr:clientData/>
  </xdr:twoCellAnchor>
  <xdr:twoCellAnchor>
    <xdr:from>
      <xdr:col>3</xdr:col>
      <xdr:colOff>390525</xdr:colOff>
      <xdr:row>27</xdr:row>
      <xdr:rowOff>76200</xdr:rowOff>
    </xdr:from>
    <xdr:to>
      <xdr:col>5</xdr:col>
      <xdr:colOff>19050</xdr:colOff>
      <xdr:row>29</xdr:row>
      <xdr:rowOff>66675</xdr:rowOff>
    </xdr:to>
    <xdr:sp macro="" textlink="">
      <xdr:nvSpPr>
        <xdr:cNvPr id="14" name="13 Rectángulo">
          <a:extLst>
            <a:ext uri="{FF2B5EF4-FFF2-40B4-BE49-F238E27FC236}">
              <a16:creationId xmlns:a16="http://schemas.microsoft.com/office/drawing/2014/main" id="{00000000-0008-0000-0D00-00000E000000}"/>
            </a:ext>
          </a:extLst>
        </xdr:cNvPr>
        <xdr:cNvSpPr/>
      </xdr:nvSpPr>
      <xdr:spPr>
        <a:xfrm>
          <a:off x="2676525" y="4543425"/>
          <a:ext cx="1152525" cy="3143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Medición</a:t>
          </a:r>
        </a:p>
      </xdr:txBody>
    </xdr:sp>
    <xdr:clientData/>
  </xdr:twoCellAnchor>
  <xdr:twoCellAnchor>
    <xdr:from>
      <xdr:col>1</xdr:col>
      <xdr:colOff>104775</xdr:colOff>
      <xdr:row>27</xdr:row>
      <xdr:rowOff>47625</xdr:rowOff>
    </xdr:from>
    <xdr:to>
      <xdr:col>2</xdr:col>
      <xdr:colOff>495300</xdr:colOff>
      <xdr:row>29</xdr:row>
      <xdr:rowOff>38100</xdr:rowOff>
    </xdr:to>
    <xdr:sp macro="" textlink="">
      <xdr:nvSpPr>
        <xdr:cNvPr id="15" name="14 Rectángulo">
          <a:extLst>
            <a:ext uri="{FF2B5EF4-FFF2-40B4-BE49-F238E27FC236}">
              <a16:creationId xmlns:a16="http://schemas.microsoft.com/office/drawing/2014/main" id="{00000000-0008-0000-0D00-00000F000000}"/>
            </a:ext>
          </a:extLst>
        </xdr:cNvPr>
        <xdr:cNvSpPr/>
      </xdr:nvSpPr>
      <xdr:spPr>
        <a:xfrm>
          <a:off x="866775" y="4514850"/>
          <a:ext cx="1152525" cy="3143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Medio ambiente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742950</xdr:colOff>
      <xdr:row>8</xdr:row>
      <xdr:rowOff>76201</xdr:rowOff>
    </xdr:from>
    <xdr:to>
      <xdr:col>16</xdr:col>
      <xdr:colOff>647700</xdr:colOff>
      <xdr:row>29</xdr:row>
      <xdr:rowOff>76201</xdr:rowOff>
    </xdr:to>
    <xdr:graphicFrame macro="">
      <xdr:nvGraphicFramePr>
        <xdr:cNvPr id="2" name="1 Gráfico">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2</xdr:col>
      <xdr:colOff>323851</xdr:colOff>
      <xdr:row>6</xdr:row>
      <xdr:rowOff>95251</xdr:rowOff>
    </xdr:from>
    <xdr:to>
      <xdr:col>2</xdr:col>
      <xdr:colOff>476251</xdr:colOff>
      <xdr:row>7</xdr:row>
      <xdr:rowOff>114300</xdr:rowOff>
    </xdr:to>
    <xdr:sp macro="" textlink="">
      <xdr:nvSpPr>
        <xdr:cNvPr id="2" name="1 Flecha abajo">
          <a:extLst>
            <a:ext uri="{FF2B5EF4-FFF2-40B4-BE49-F238E27FC236}">
              <a16:creationId xmlns:a16="http://schemas.microsoft.com/office/drawing/2014/main" id="{00000000-0008-0000-0F00-000002000000}"/>
            </a:ext>
          </a:extLst>
        </xdr:cNvPr>
        <xdr:cNvSpPr/>
      </xdr:nvSpPr>
      <xdr:spPr>
        <a:xfrm>
          <a:off x="1924051" y="1447801"/>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3</xdr:col>
      <xdr:colOff>323850</xdr:colOff>
      <xdr:row>6</xdr:row>
      <xdr:rowOff>76200</xdr:rowOff>
    </xdr:from>
    <xdr:to>
      <xdr:col>3</xdr:col>
      <xdr:colOff>476250</xdr:colOff>
      <xdr:row>7</xdr:row>
      <xdr:rowOff>95249</xdr:rowOff>
    </xdr:to>
    <xdr:sp macro="" textlink="">
      <xdr:nvSpPr>
        <xdr:cNvPr id="3" name="2 Flecha abajo">
          <a:extLst>
            <a:ext uri="{FF2B5EF4-FFF2-40B4-BE49-F238E27FC236}">
              <a16:creationId xmlns:a16="http://schemas.microsoft.com/office/drawing/2014/main" id="{00000000-0008-0000-0F00-000003000000}"/>
            </a:ext>
          </a:extLst>
        </xdr:cNvPr>
        <xdr:cNvSpPr/>
      </xdr:nvSpPr>
      <xdr:spPr>
        <a:xfrm>
          <a:off x="2686050" y="1428750"/>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4</xdr:col>
      <xdr:colOff>304800</xdr:colOff>
      <xdr:row>6</xdr:row>
      <xdr:rowOff>95250</xdr:rowOff>
    </xdr:from>
    <xdr:to>
      <xdr:col>4</xdr:col>
      <xdr:colOff>457200</xdr:colOff>
      <xdr:row>7</xdr:row>
      <xdr:rowOff>114299</xdr:rowOff>
    </xdr:to>
    <xdr:sp macro="" textlink="">
      <xdr:nvSpPr>
        <xdr:cNvPr id="4" name="3 Flecha abajo">
          <a:extLst>
            <a:ext uri="{FF2B5EF4-FFF2-40B4-BE49-F238E27FC236}">
              <a16:creationId xmlns:a16="http://schemas.microsoft.com/office/drawing/2014/main" id="{00000000-0008-0000-0F00-000004000000}"/>
            </a:ext>
          </a:extLst>
        </xdr:cNvPr>
        <xdr:cNvSpPr/>
      </xdr:nvSpPr>
      <xdr:spPr>
        <a:xfrm>
          <a:off x="3429000" y="1447800"/>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5</xdr:col>
      <xdr:colOff>295275</xdr:colOff>
      <xdr:row>6</xdr:row>
      <xdr:rowOff>66675</xdr:rowOff>
    </xdr:from>
    <xdr:to>
      <xdr:col>5</xdr:col>
      <xdr:colOff>447675</xdr:colOff>
      <xdr:row>7</xdr:row>
      <xdr:rowOff>85724</xdr:rowOff>
    </xdr:to>
    <xdr:sp macro="" textlink="">
      <xdr:nvSpPr>
        <xdr:cNvPr id="5" name="4 Flecha abajo">
          <a:extLst>
            <a:ext uri="{FF2B5EF4-FFF2-40B4-BE49-F238E27FC236}">
              <a16:creationId xmlns:a16="http://schemas.microsoft.com/office/drawing/2014/main" id="{00000000-0008-0000-0F00-000005000000}"/>
            </a:ext>
          </a:extLst>
        </xdr:cNvPr>
        <xdr:cNvSpPr/>
      </xdr:nvSpPr>
      <xdr:spPr>
        <a:xfrm>
          <a:off x="4181475" y="1419225"/>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6</xdr:col>
      <xdr:colOff>276225</xdr:colOff>
      <xdr:row>6</xdr:row>
      <xdr:rowOff>76200</xdr:rowOff>
    </xdr:from>
    <xdr:to>
      <xdr:col>6</xdr:col>
      <xdr:colOff>428625</xdr:colOff>
      <xdr:row>7</xdr:row>
      <xdr:rowOff>95249</xdr:rowOff>
    </xdr:to>
    <xdr:sp macro="" textlink="">
      <xdr:nvSpPr>
        <xdr:cNvPr id="6" name="5 Flecha abajo">
          <a:extLst>
            <a:ext uri="{FF2B5EF4-FFF2-40B4-BE49-F238E27FC236}">
              <a16:creationId xmlns:a16="http://schemas.microsoft.com/office/drawing/2014/main" id="{00000000-0008-0000-0F00-000006000000}"/>
            </a:ext>
          </a:extLst>
        </xdr:cNvPr>
        <xdr:cNvSpPr/>
      </xdr:nvSpPr>
      <xdr:spPr>
        <a:xfrm>
          <a:off x="4924425" y="1428750"/>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7</xdr:col>
      <xdr:colOff>266700</xdr:colOff>
      <xdr:row>6</xdr:row>
      <xdr:rowOff>76200</xdr:rowOff>
    </xdr:from>
    <xdr:to>
      <xdr:col>7</xdr:col>
      <xdr:colOff>419100</xdr:colOff>
      <xdr:row>7</xdr:row>
      <xdr:rowOff>95249</xdr:rowOff>
    </xdr:to>
    <xdr:sp macro="" textlink="">
      <xdr:nvSpPr>
        <xdr:cNvPr id="7" name="6 Flecha abajo">
          <a:extLst>
            <a:ext uri="{FF2B5EF4-FFF2-40B4-BE49-F238E27FC236}">
              <a16:creationId xmlns:a16="http://schemas.microsoft.com/office/drawing/2014/main" id="{00000000-0008-0000-0F00-000007000000}"/>
            </a:ext>
          </a:extLst>
        </xdr:cNvPr>
        <xdr:cNvSpPr/>
      </xdr:nvSpPr>
      <xdr:spPr>
        <a:xfrm>
          <a:off x="5676900" y="1428750"/>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8</xdr:col>
      <xdr:colOff>295275</xdr:colOff>
      <xdr:row>6</xdr:row>
      <xdr:rowOff>47625</xdr:rowOff>
    </xdr:from>
    <xdr:to>
      <xdr:col>8</xdr:col>
      <xdr:colOff>447675</xdr:colOff>
      <xdr:row>7</xdr:row>
      <xdr:rowOff>66674</xdr:rowOff>
    </xdr:to>
    <xdr:sp macro="" textlink="">
      <xdr:nvSpPr>
        <xdr:cNvPr id="8" name="7 Flecha abajo">
          <a:extLst>
            <a:ext uri="{FF2B5EF4-FFF2-40B4-BE49-F238E27FC236}">
              <a16:creationId xmlns:a16="http://schemas.microsoft.com/office/drawing/2014/main" id="{00000000-0008-0000-0F00-000008000000}"/>
            </a:ext>
          </a:extLst>
        </xdr:cNvPr>
        <xdr:cNvSpPr/>
      </xdr:nvSpPr>
      <xdr:spPr>
        <a:xfrm>
          <a:off x="6467475" y="1400175"/>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9</xdr:col>
      <xdr:colOff>276225</xdr:colOff>
      <xdr:row>6</xdr:row>
      <xdr:rowOff>66675</xdr:rowOff>
    </xdr:from>
    <xdr:to>
      <xdr:col>9</xdr:col>
      <xdr:colOff>428625</xdr:colOff>
      <xdr:row>7</xdr:row>
      <xdr:rowOff>85724</xdr:rowOff>
    </xdr:to>
    <xdr:sp macro="" textlink="">
      <xdr:nvSpPr>
        <xdr:cNvPr id="9" name="8 Flecha abajo">
          <a:extLst>
            <a:ext uri="{FF2B5EF4-FFF2-40B4-BE49-F238E27FC236}">
              <a16:creationId xmlns:a16="http://schemas.microsoft.com/office/drawing/2014/main" id="{00000000-0008-0000-0F00-000009000000}"/>
            </a:ext>
          </a:extLst>
        </xdr:cNvPr>
        <xdr:cNvSpPr/>
      </xdr:nvSpPr>
      <xdr:spPr>
        <a:xfrm>
          <a:off x="7210425" y="1419225"/>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10</xdr:col>
      <xdr:colOff>276225</xdr:colOff>
      <xdr:row>6</xdr:row>
      <xdr:rowOff>57150</xdr:rowOff>
    </xdr:from>
    <xdr:to>
      <xdr:col>10</xdr:col>
      <xdr:colOff>428625</xdr:colOff>
      <xdr:row>7</xdr:row>
      <xdr:rowOff>76199</xdr:rowOff>
    </xdr:to>
    <xdr:sp macro="" textlink="">
      <xdr:nvSpPr>
        <xdr:cNvPr id="10" name="9 Flecha abajo">
          <a:extLst>
            <a:ext uri="{FF2B5EF4-FFF2-40B4-BE49-F238E27FC236}">
              <a16:creationId xmlns:a16="http://schemas.microsoft.com/office/drawing/2014/main" id="{00000000-0008-0000-0F00-00000A000000}"/>
            </a:ext>
          </a:extLst>
        </xdr:cNvPr>
        <xdr:cNvSpPr/>
      </xdr:nvSpPr>
      <xdr:spPr>
        <a:xfrm>
          <a:off x="7972425" y="1409700"/>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11</xdr:col>
      <xdr:colOff>314325</xdr:colOff>
      <xdr:row>6</xdr:row>
      <xdr:rowOff>85725</xdr:rowOff>
    </xdr:from>
    <xdr:to>
      <xdr:col>11</xdr:col>
      <xdr:colOff>466725</xdr:colOff>
      <xdr:row>7</xdr:row>
      <xdr:rowOff>104774</xdr:rowOff>
    </xdr:to>
    <xdr:sp macro="" textlink="">
      <xdr:nvSpPr>
        <xdr:cNvPr id="11" name="10 Flecha abajo">
          <a:extLst>
            <a:ext uri="{FF2B5EF4-FFF2-40B4-BE49-F238E27FC236}">
              <a16:creationId xmlns:a16="http://schemas.microsoft.com/office/drawing/2014/main" id="{00000000-0008-0000-0F00-00000B000000}"/>
            </a:ext>
          </a:extLst>
        </xdr:cNvPr>
        <xdr:cNvSpPr/>
      </xdr:nvSpPr>
      <xdr:spPr>
        <a:xfrm>
          <a:off x="8772525" y="1438275"/>
          <a:ext cx="152400" cy="2190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16</xdr:col>
      <xdr:colOff>285750</xdr:colOff>
      <xdr:row>6</xdr:row>
      <xdr:rowOff>123825</xdr:rowOff>
    </xdr:from>
    <xdr:to>
      <xdr:col>16</xdr:col>
      <xdr:colOff>723900</xdr:colOff>
      <xdr:row>8</xdr:row>
      <xdr:rowOff>142875</xdr:rowOff>
    </xdr:to>
    <xdr:sp macro="" textlink="">
      <xdr:nvSpPr>
        <xdr:cNvPr id="12" name="11 Combinar">
          <a:extLst>
            <a:ext uri="{FF2B5EF4-FFF2-40B4-BE49-F238E27FC236}">
              <a16:creationId xmlns:a16="http://schemas.microsoft.com/office/drawing/2014/main" id="{00000000-0008-0000-0F00-00000C000000}"/>
            </a:ext>
          </a:extLst>
        </xdr:cNvPr>
        <xdr:cNvSpPr/>
      </xdr:nvSpPr>
      <xdr:spPr>
        <a:xfrm>
          <a:off x="12553950" y="1476375"/>
          <a:ext cx="438150" cy="428625"/>
        </a:xfrm>
        <a:prstGeom prst="flowChartMerge">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13</xdr:col>
      <xdr:colOff>9525</xdr:colOff>
      <xdr:row>19</xdr:row>
      <xdr:rowOff>171450</xdr:rowOff>
    </xdr:from>
    <xdr:to>
      <xdr:col>14</xdr:col>
      <xdr:colOff>314325</xdr:colOff>
      <xdr:row>21</xdr:row>
      <xdr:rowOff>76200</xdr:rowOff>
    </xdr:to>
    <xdr:sp macro="" textlink="">
      <xdr:nvSpPr>
        <xdr:cNvPr id="13" name="12 Rectángulo">
          <a:extLst>
            <a:ext uri="{FF2B5EF4-FFF2-40B4-BE49-F238E27FC236}">
              <a16:creationId xmlns:a16="http://schemas.microsoft.com/office/drawing/2014/main" id="{00000000-0008-0000-0F00-00000D000000}"/>
            </a:ext>
          </a:extLst>
        </xdr:cNvPr>
        <xdr:cNvSpPr/>
      </xdr:nvSpPr>
      <xdr:spPr>
        <a:xfrm>
          <a:off x="9991725" y="4333875"/>
          <a:ext cx="1066800" cy="533400"/>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100">
              <a:solidFill>
                <a:schemeClr val="tx1"/>
              </a:solidFill>
            </a:rPr>
            <a:t>SIN ALMACEN INTERMEDIO</a:t>
          </a:r>
        </a:p>
        <a:p>
          <a:pPr algn="ctr"/>
          <a:endParaRPr lang="es-MX" sz="1100">
            <a:solidFill>
              <a:schemeClr val="tx1"/>
            </a:solidFill>
          </a:endParaRPr>
        </a:p>
      </xdr:txBody>
    </xdr:sp>
    <xdr:clientData/>
  </xdr:twoCellAnchor>
  <xdr:twoCellAnchor>
    <xdr:from>
      <xdr:col>2</xdr:col>
      <xdr:colOff>676274</xdr:colOff>
      <xdr:row>21</xdr:row>
      <xdr:rowOff>47626</xdr:rowOff>
    </xdr:from>
    <xdr:to>
      <xdr:col>3</xdr:col>
      <xdr:colOff>469770</xdr:colOff>
      <xdr:row>22</xdr:row>
      <xdr:rowOff>161926</xdr:rowOff>
    </xdr:to>
    <xdr:sp macro="" textlink="">
      <xdr:nvSpPr>
        <xdr:cNvPr id="14" name="13 Flecha doblada">
          <a:extLst>
            <a:ext uri="{FF2B5EF4-FFF2-40B4-BE49-F238E27FC236}">
              <a16:creationId xmlns:a16="http://schemas.microsoft.com/office/drawing/2014/main" id="{00000000-0008-0000-0F00-00000E000000}"/>
            </a:ext>
          </a:extLst>
        </xdr:cNvPr>
        <xdr:cNvSpPr/>
      </xdr:nvSpPr>
      <xdr:spPr>
        <a:xfrm rot="5400000">
          <a:off x="2397059" y="4718116"/>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3</xdr:col>
      <xdr:colOff>676275</xdr:colOff>
      <xdr:row>21</xdr:row>
      <xdr:rowOff>47627</xdr:rowOff>
    </xdr:from>
    <xdr:to>
      <xdr:col>4</xdr:col>
      <xdr:colOff>469771</xdr:colOff>
      <xdr:row>22</xdr:row>
      <xdr:rowOff>161927</xdr:rowOff>
    </xdr:to>
    <xdr:sp macro="" textlink="">
      <xdr:nvSpPr>
        <xdr:cNvPr id="15" name="14 Flecha doblada">
          <a:extLst>
            <a:ext uri="{FF2B5EF4-FFF2-40B4-BE49-F238E27FC236}">
              <a16:creationId xmlns:a16="http://schemas.microsoft.com/office/drawing/2014/main" id="{00000000-0008-0000-0F00-00000F000000}"/>
            </a:ext>
          </a:extLst>
        </xdr:cNvPr>
        <xdr:cNvSpPr/>
      </xdr:nvSpPr>
      <xdr:spPr>
        <a:xfrm rot="5400000">
          <a:off x="3159060" y="4718117"/>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4</xdr:col>
      <xdr:colOff>628650</xdr:colOff>
      <xdr:row>21</xdr:row>
      <xdr:rowOff>66676</xdr:rowOff>
    </xdr:from>
    <xdr:to>
      <xdr:col>5</xdr:col>
      <xdr:colOff>422146</xdr:colOff>
      <xdr:row>22</xdr:row>
      <xdr:rowOff>180976</xdr:rowOff>
    </xdr:to>
    <xdr:sp macro="" textlink="">
      <xdr:nvSpPr>
        <xdr:cNvPr id="16" name="15 Flecha doblada">
          <a:extLst>
            <a:ext uri="{FF2B5EF4-FFF2-40B4-BE49-F238E27FC236}">
              <a16:creationId xmlns:a16="http://schemas.microsoft.com/office/drawing/2014/main" id="{00000000-0008-0000-0F00-000010000000}"/>
            </a:ext>
          </a:extLst>
        </xdr:cNvPr>
        <xdr:cNvSpPr/>
      </xdr:nvSpPr>
      <xdr:spPr>
        <a:xfrm rot="5400000">
          <a:off x="3873435" y="4737166"/>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5</xdr:col>
      <xdr:colOff>609600</xdr:colOff>
      <xdr:row>21</xdr:row>
      <xdr:rowOff>57151</xdr:rowOff>
    </xdr:from>
    <xdr:to>
      <xdr:col>6</xdr:col>
      <xdr:colOff>403096</xdr:colOff>
      <xdr:row>22</xdr:row>
      <xdr:rowOff>171451</xdr:rowOff>
    </xdr:to>
    <xdr:sp macro="" textlink="">
      <xdr:nvSpPr>
        <xdr:cNvPr id="17" name="16 Flecha doblada">
          <a:extLst>
            <a:ext uri="{FF2B5EF4-FFF2-40B4-BE49-F238E27FC236}">
              <a16:creationId xmlns:a16="http://schemas.microsoft.com/office/drawing/2014/main" id="{00000000-0008-0000-0F00-000011000000}"/>
            </a:ext>
          </a:extLst>
        </xdr:cNvPr>
        <xdr:cNvSpPr/>
      </xdr:nvSpPr>
      <xdr:spPr>
        <a:xfrm rot="5400000">
          <a:off x="4616385" y="4727641"/>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6</xdr:col>
      <xdr:colOff>609600</xdr:colOff>
      <xdr:row>21</xdr:row>
      <xdr:rowOff>57151</xdr:rowOff>
    </xdr:from>
    <xdr:to>
      <xdr:col>7</xdr:col>
      <xdr:colOff>403096</xdr:colOff>
      <xdr:row>22</xdr:row>
      <xdr:rowOff>171451</xdr:rowOff>
    </xdr:to>
    <xdr:sp macro="" textlink="">
      <xdr:nvSpPr>
        <xdr:cNvPr id="18" name="17 Flecha doblada">
          <a:extLst>
            <a:ext uri="{FF2B5EF4-FFF2-40B4-BE49-F238E27FC236}">
              <a16:creationId xmlns:a16="http://schemas.microsoft.com/office/drawing/2014/main" id="{00000000-0008-0000-0F00-000012000000}"/>
            </a:ext>
          </a:extLst>
        </xdr:cNvPr>
        <xdr:cNvSpPr/>
      </xdr:nvSpPr>
      <xdr:spPr>
        <a:xfrm rot="5400000">
          <a:off x="5378385" y="4727641"/>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7</xdr:col>
      <xdr:colOff>657225</xdr:colOff>
      <xdr:row>21</xdr:row>
      <xdr:rowOff>57151</xdr:rowOff>
    </xdr:from>
    <xdr:to>
      <xdr:col>8</xdr:col>
      <xdr:colOff>450721</xdr:colOff>
      <xdr:row>22</xdr:row>
      <xdr:rowOff>171451</xdr:rowOff>
    </xdr:to>
    <xdr:sp macro="" textlink="">
      <xdr:nvSpPr>
        <xdr:cNvPr id="19" name="18 Flecha doblada">
          <a:extLst>
            <a:ext uri="{FF2B5EF4-FFF2-40B4-BE49-F238E27FC236}">
              <a16:creationId xmlns:a16="http://schemas.microsoft.com/office/drawing/2014/main" id="{00000000-0008-0000-0F00-000013000000}"/>
            </a:ext>
          </a:extLst>
        </xdr:cNvPr>
        <xdr:cNvSpPr/>
      </xdr:nvSpPr>
      <xdr:spPr>
        <a:xfrm rot="5400000">
          <a:off x="6188010" y="4727641"/>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8</xdr:col>
      <xdr:colOff>638175</xdr:colOff>
      <xdr:row>21</xdr:row>
      <xdr:rowOff>47626</xdr:rowOff>
    </xdr:from>
    <xdr:to>
      <xdr:col>9</xdr:col>
      <xdr:colOff>431671</xdr:colOff>
      <xdr:row>22</xdr:row>
      <xdr:rowOff>161926</xdr:rowOff>
    </xdr:to>
    <xdr:sp macro="" textlink="">
      <xdr:nvSpPr>
        <xdr:cNvPr id="20" name="19 Flecha doblada">
          <a:extLst>
            <a:ext uri="{FF2B5EF4-FFF2-40B4-BE49-F238E27FC236}">
              <a16:creationId xmlns:a16="http://schemas.microsoft.com/office/drawing/2014/main" id="{00000000-0008-0000-0F00-000014000000}"/>
            </a:ext>
          </a:extLst>
        </xdr:cNvPr>
        <xdr:cNvSpPr/>
      </xdr:nvSpPr>
      <xdr:spPr>
        <a:xfrm rot="5400000">
          <a:off x="6930960" y="4718116"/>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9</xdr:col>
      <xdr:colOff>609600</xdr:colOff>
      <xdr:row>21</xdr:row>
      <xdr:rowOff>47626</xdr:rowOff>
    </xdr:from>
    <xdr:to>
      <xdr:col>10</xdr:col>
      <xdr:colOff>403096</xdr:colOff>
      <xdr:row>22</xdr:row>
      <xdr:rowOff>161926</xdr:rowOff>
    </xdr:to>
    <xdr:sp macro="" textlink="">
      <xdr:nvSpPr>
        <xdr:cNvPr id="21" name="20 Flecha doblada">
          <a:extLst>
            <a:ext uri="{FF2B5EF4-FFF2-40B4-BE49-F238E27FC236}">
              <a16:creationId xmlns:a16="http://schemas.microsoft.com/office/drawing/2014/main" id="{00000000-0008-0000-0F00-000015000000}"/>
            </a:ext>
          </a:extLst>
        </xdr:cNvPr>
        <xdr:cNvSpPr/>
      </xdr:nvSpPr>
      <xdr:spPr>
        <a:xfrm rot="5400000">
          <a:off x="7664385" y="4718116"/>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10</xdr:col>
      <xdr:colOff>600075</xdr:colOff>
      <xdr:row>21</xdr:row>
      <xdr:rowOff>47626</xdr:rowOff>
    </xdr:from>
    <xdr:to>
      <xdr:col>11</xdr:col>
      <xdr:colOff>393571</xdr:colOff>
      <xdr:row>22</xdr:row>
      <xdr:rowOff>161926</xdr:rowOff>
    </xdr:to>
    <xdr:sp macro="" textlink="">
      <xdr:nvSpPr>
        <xdr:cNvPr id="22" name="21 Flecha doblada">
          <a:extLst>
            <a:ext uri="{FF2B5EF4-FFF2-40B4-BE49-F238E27FC236}">
              <a16:creationId xmlns:a16="http://schemas.microsoft.com/office/drawing/2014/main" id="{00000000-0008-0000-0F00-000016000000}"/>
            </a:ext>
          </a:extLst>
        </xdr:cNvPr>
        <xdr:cNvSpPr/>
      </xdr:nvSpPr>
      <xdr:spPr>
        <a:xfrm rot="5400000">
          <a:off x="8416860" y="4718116"/>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11</xdr:col>
      <xdr:colOff>571500</xdr:colOff>
      <xdr:row>21</xdr:row>
      <xdr:rowOff>47626</xdr:rowOff>
    </xdr:from>
    <xdr:to>
      <xdr:col>12</xdr:col>
      <xdr:colOff>364996</xdr:colOff>
      <xdr:row>22</xdr:row>
      <xdr:rowOff>161926</xdr:rowOff>
    </xdr:to>
    <xdr:sp macro="" textlink="">
      <xdr:nvSpPr>
        <xdr:cNvPr id="23" name="22 Flecha doblada">
          <a:extLst>
            <a:ext uri="{FF2B5EF4-FFF2-40B4-BE49-F238E27FC236}">
              <a16:creationId xmlns:a16="http://schemas.microsoft.com/office/drawing/2014/main" id="{00000000-0008-0000-0F00-000017000000}"/>
            </a:ext>
          </a:extLst>
        </xdr:cNvPr>
        <xdr:cNvSpPr/>
      </xdr:nvSpPr>
      <xdr:spPr>
        <a:xfrm rot="5400000">
          <a:off x="9150285" y="4718116"/>
          <a:ext cx="314325" cy="555496"/>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14</xdr:col>
      <xdr:colOff>133349</xdr:colOff>
      <xdr:row>40</xdr:row>
      <xdr:rowOff>28575</xdr:rowOff>
    </xdr:from>
    <xdr:to>
      <xdr:col>22</xdr:col>
      <xdr:colOff>371474</xdr:colOff>
      <xdr:row>55</xdr:row>
      <xdr:rowOff>42862</xdr:rowOff>
    </xdr:to>
    <xdr:graphicFrame macro="">
      <xdr:nvGraphicFramePr>
        <xdr:cNvPr id="2" name="1 Gráfico">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685799</xdr:colOff>
      <xdr:row>8</xdr:row>
      <xdr:rowOff>185737</xdr:rowOff>
    </xdr:from>
    <xdr:to>
      <xdr:col>20</xdr:col>
      <xdr:colOff>542924</xdr:colOff>
      <xdr:row>23</xdr:row>
      <xdr:rowOff>71437</xdr:rowOff>
    </xdr:to>
    <xdr:graphicFrame macro="">
      <xdr:nvGraphicFramePr>
        <xdr:cNvPr id="2" name="1 Gráfico">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876301</xdr:colOff>
      <xdr:row>6</xdr:row>
      <xdr:rowOff>114300</xdr:rowOff>
    </xdr:from>
    <xdr:to>
      <xdr:col>6</xdr:col>
      <xdr:colOff>723900</xdr:colOff>
      <xdr:row>7</xdr:row>
      <xdr:rowOff>19050</xdr:rowOff>
    </xdr:to>
    <xdr:cxnSp macro="">
      <xdr:nvCxnSpPr>
        <xdr:cNvPr id="3" name="2 Conector recto de flecha">
          <a:extLst>
            <a:ext uri="{FF2B5EF4-FFF2-40B4-BE49-F238E27FC236}">
              <a16:creationId xmlns:a16="http://schemas.microsoft.com/office/drawing/2014/main" id="{00000000-0008-0000-1200-000003000000}"/>
            </a:ext>
          </a:extLst>
        </xdr:cNvPr>
        <xdr:cNvCxnSpPr/>
      </xdr:nvCxnSpPr>
      <xdr:spPr>
        <a:xfrm flipH="1">
          <a:off x="6724651" y="1257300"/>
          <a:ext cx="752474" cy="95250"/>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276225</xdr:colOff>
      <xdr:row>15</xdr:row>
      <xdr:rowOff>142874</xdr:rowOff>
    </xdr:from>
    <xdr:to>
      <xdr:col>1</xdr:col>
      <xdr:colOff>600075</xdr:colOff>
      <xdr:row>26</xdr:row>
      <xdr:rowOff>38099</xdr:rowOff>
    </xdr:to>
    <xdr:sp macro="" textlink="">
      <xdr:nvSpPr>
        <xdr:cNvPr id="2" name="1 Rectángulo">
          <a:extLst>
            <a:ext uri="{FF2B5EF4-FFF2-40B4-BE49-F238E27FC236}">
              <a16:creationId xmlns:a16="http://schemas.microsoft.com/office/drawing/2014/main" id="{00000000-0008-0000-1400-000002000000}"/>
            </a:ext>
          </a:extLst>
        </xdr:cNvPr>
        <xdr:cNvSpPr/>
      </xdr:nvSpPr>
      <xdr:spPr>
        <a:xfrm>
          <a:off x="1038225" y="3200399"/>
          <a:ext cx="323850" cy="19907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285750</xdr:colOff>
      <xdr:row>13</xdr:row>
      <xdr:rowOff>76200</xdr:rowOff>
    </xdr:from>
    <xdr:to>
      <xdr:col>1</xdr:col>
      <xdr:colOff>638175</xdr:colOff>
      <xdr:row>15</xdr:row>
      <xdr:rowOff>28575</xdr:rowOff>
    </xdr:to>
    <xdr:sp macro="" textlink="">
      <xdr:nvSpPr>
        <xdr:cNvPr id="3" name="2 Elipse">
          <a:extLst>
            <a:ext uri="{FF2B5EF4-FFF2-40B4-BE49-F238E27FC236}">
              <a16:creationId xmlns:a16="http://schemas.microsoft.com/office/drawing/2014/main" id="{00000000-0008-0000-1400-000003000000}"/>
            </a:ext>
          </a:extLst>
        </xdr:cNvPr>
        <xdr:cNvSpPr/>
      </xdr:nvSpPr>
      <xdr:spPr>
        <a:xfrm>
          <a:off x="1047750" y="2752725"/>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marL="0" indent="0" algn="l"/>
          <a:r>
            <a:rPr lang="es-MX" sz="1100">
              <a:solidFill>
                <a:schemeClr val="lt1"/>
              </a:solidFill>
              <a:latin typeface="+mn-lt"/>
              <a:ea typeface="+mn-ea"/>
              <a:cs typeface="+mn-cs"/>
            </a:rPr>
            <a:t>1</a:t>
          </a:r>
        </a:p>
      </xdr:txBody>
    </xdr:sp>
    <xdr:clientData/>
  </xdr:twoCellAnchor>
  <xdr:twoCellAnchor>
    <xdr:from>
      <xdr:col>1</xdr:col>
      <xdr:colOff>704850</xdr:colOff>
      <xdr:row>16</xdr:row>
      <xdr:rowOff>57150</xdr:rowOff>
    </xdr:from>
    <xdr:to>
      <xdr:col>2</xdr:col>
      <xdr:colOff>295275</xdr:colOff>
      <xdr:row>18</xdr:row>
      <xdr:rowOff>9525</xdr:rowOff>
    </xdr:to>
    <xdr:sp macro="" textlink="">
      <xdr:nvSpPr>
        <xdr:cNvPr id="4" name="3 Elipse">
          <a:extLst>
            <a:ext uri="{FF2B5EF4-FFF2-40B4-BE49-F238E27FC236}">
              <a16:creationId xmlns:a16="http://schemas.microsoft.com/office/drawing/2014/main" id="{00000000-0008-0000-1400-000004000000}"/>
            </a:ext>
          </a:extLst>
        </xdr:cNvPr>
        <xdr:cNvSpPr/>
      </xdr:nvSpPr>
      <xdr:spPr>
        <a:xfrm>
          <a:off x="1466850" y="3305175"/>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marL="0" indent="0" algn="l"/>
          <a:r>
            <a:rPr lang="es-MX" sz="1100">
              <a:solidFill>
                <a:schemeClr val="lt1"/>
              </a:solidFill>
              <a:latin typeface="+mn-lt"/>
              <a:ea typeface="+mn-ea"/>
              <a:cs typeface="+mn-cs"/>
            </a:rPr>
            <a:t>2</a:t>
          </a:r>
        </a:p>
      </xdr:txBody>
    </xdr:sp>
    <xdr:clientData/>
  </xdr:twoCellAnchor>
  <xdr:twoCellAnchor>
    <xdr:from>
      <xdr:col>0</xdr:col>
      <xdr:colOff>581025</xdr:colOff>
      <xdr:row>18</xdr:row>
      <xdr:rowOff>123825</xdr:rowOff>
    </xdr:from>
    <xdr:to>
      <xdr:col>1</xdr:col>
      <xdr:colOff>171450</xdr:colOff>
      <xdr:row>20</xdr:row>
      <xdr:rowOff>76200</xdr:rowOff>
    </xdr:to>
    <xdr:sp macro="" textlink="">
      <xdr:nvSpPr>
        <xdr:cNvPr id="5" name="4 Elipse">
          <a:extLst>
            <a:ext uri="{FF2B5EF4-FFF2-40B4-BE49-F238E27FC236}">
              <a16:creationId xmlns:a16="http://schemas.microsoft.com/office/drawing/2014/main" id="{00000000-0008-0000-1400-000005000000}"/>
            </a:ext>
          </a:extLst>
        </xdr:cNvPr>
        <xdr:cNvSpPr/>
      </xdr:nvSpPr>
      <xdr:spPr>
        <a:xfrm>
          <a:off x="581025" y="37528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marL="0" indent="0" algn="l"/>
          <a:r>
            <a:rPr lang="es-MX" sz="1100">
              <a:solidFill>
                <a:schemeClr val="lt1"/>
              </a:solidFill>
              <a:latin typeface="+mn-lt"/>
              <a:ea typeface="+mn-ea"/>
              <a:cs typeface="+mn-cs"/>
            </a:rPr>
            <a:t>3</a:t>
          </a:r>
        </a:p>
      </xdr:txBody>
    </xdr:sp>
    <xdr:clientData/>
  </xdr:twoCellAnchor>
  <xdr:twoCellAnchor>
    <xdr:from>
      <xdr:col>1</xdr:col>
      <xdr:colOff>657225</xdr:colOff>
      <xdr:row>20</xdr:row>
      <xdr:rowOff>180975</xdr:rowOff>
    </xdr:from>
    <xdr:to>
      <xdr:col>2</xdr:col>
      <xdr:colOff>247650</xdr:colOff>
      <xdr:row>22</xdr:row>
      <xdr:rowOff>133350</xdr:rowOff>
    </xdr:to>
    <xdr:sp macro="" textlink="">
      <xdr:nvSpPr>
        <xdr:cNvPr id="6" name="5 Elipse">
          <a:extLst>
            <a:ext uri="{FF2B5EF4-FFF2-40B4-BE49-F238E27FC236}">
              <a16:creationId xmlns:a16="http://schemas.microsoft.com/office/drawing/2014/main" id="{00000000-0008-0000-1400-000006000000}"/>
            </a:ext>
          </a:extLst>
        </xdr:cNvPr>
        <xdr:cNvSpPr/>
      </xdr:nvSpPr>
      <xdr:spPr>
        <a:xfrm>
          <a:off x="1419225" y="419100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4</a:t>
          </a:r>
        </a:p>
      </xdr:txBody>
    </xdr:sp>
    <xdr:clientData/>
  </xdr:twoCellAnchor>
  <xdr:twoCellAnchor>
    <xdr:from>
      <xdr:col>3</xdr:col>
      <xdr:colOff>666750</xdr:colOff>
      <xdr:row>18</xdr:row>
      <xdr:rowOff>85725</xdr:rowOff>
    </xdr:from>
    <xdr:to>
      <xdr:col>4</xdr:col>
      <xdr:colOff>180975</xdr:colOff>
      <xdr:row>20</xdr:row>
      <xdr:rowOff>38100</xdr:rowOff>
    </xdr:to>
    <xdr:sp macro="" textlink="">
      <xdr:nvSpPr>
        <xdr:cNvPr id="7" name="6 Elipse">
          <a:extLst>
            <a:ext uri="{FF2B5EF4-FFF2-40B4-BE49-F238E27FC236}">
              <a16:creationId xmlns:a16="http://schemas.microsoft.com/office/drawing/2014/main" id="{00000000-0008-0000-1400-000007000000}"/>
            </a:ext>
          </a:extLst>
        </xdr:cNvPr>
        <xdr:cNvSpPr/>
      </xdr:nvSpPr>
      <xdr:spPr>
        <a:xfrm>
          <a:off x="3714750" y="37147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3</a:t>
          </a:r>
        </a:p>
      </xdr:txBody>
    </xdr:sp>
    <xdr:clientData/>
  </xdr:twoCellAnchor>
  <xdr:twoCellAnchor>
    <xdr:from>
      <xdr:col>2</xdr:col>
      <xdr:colOff>1362075</xdr:colOff>
      <xdr:row>18</xdr:row>
      <xdr:rowOff>85725</xdr:rowOff>
    </xdr:from>
    <xdr:to>
      <xdr:col>3</xdr:col>
      <xdr:colOff>190500</xdr:colOff>
      <xdr:row>20</xdr:row>
      <xdr:rowOff>38100</xdr:rowOff>
    </xdr:to>
    <xdr:sp macro="" textlink="">
      <xdr:nvSpPr>
        <xdr:cNvPr id="8" name="7 Elipse">
          <a:extLst>
            <a:ext uri="{FF2B5EF4-FFF2-40B4-BE49-F238E27FC236}">
              <a16:creationId xmlns:a16="http://schemas.microsoft.com/office/drawing/2014/main" id="{00000000-0008-0000-1400-000008000000}"/>
            </a:ext>
          </a:extLst>
        </xdr:cNvPr>
        <xdr:cNvSpPr/>
      </xdr:nvSpPr>
      <xdr:spPr>
        <a:xfrm>
          <a:off x="2886075" y="37147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3</a:t>
          </a:r>
        </a:p>
      </xdr:txBody>
    </xdr:sp>
    <xdr:clientData/>
  </xdr:twoCellAnchor>
  <xdr:twoCellAnchor>
    <xdr:from>
      <xdr:col>3</xdr:col>
      <xdr:colOff>647700</xdr:colOff>
      <xdr:row>16</xdr:row>
      <xdr:rowOff>0</xdr:rowOff>
    </xdr:from>
    <xdr:to>
      <xdr:col>4</xdr:col>
      <xdr:colOff>161925</xdr:colOff>
      <xdr:row>17</xdr:row>
      <xdr:rowOff>142875</xdr:rowOff>
    </xdr:to>
    <xdr:sp macro="" textlink="">
      <xdr:nvSpPr>
        <xdr:cNvPr id="9" name="8 Elipse">
          <a:extLst>
            <a:ext uri="{FF2B5EF4-FFF2-40B4-BE49-F238E27FC236}">
              <a16:creationId xmlns:a16="http://schemas.microsoft.com/office/drawing/2014/main" id="{00000000-0008-0000-1400-000009000000}"/>
            </a:ext>
          </a:extLst>
        </xdr:cNvPr>
        <xdr:cNvSpPr/>
      </xdr:nvSpPr>
      <xdr:spPr>
        <a:xfrm>
          <a:off x="3695700" y="3248025"/>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2</a:t>
          </a:r>
        </a:p>
      </xdr:txBody>
    </xdr:sp>
    <xdr:clientData/>
  </xdr:twoCellAnchor>
  <xdr:twoCellAnchor>
    <xdr:from>
      <xdr:col>2</xdr:col>
      <xdr:colOff>1362075</xdr:colOff>
      <xdr:row>16</xdr:row>
      <xdr:rowOff>0</xdr:rowOff>
    </xdr:from>
    <xdr:to>
      <xdr:col>3</xdr:col>
      <xdr:colOff>190500</xdr:colOff>
      <xdr:row>17</xdr:row>
      <xdr:rowOff>142875</xdr:rowOff>
    </xdr:to>
    <xdr:sp macro="" textlink="">
      <xdr:nvSpPr>
        <xdr:cNvPr id="10" name="9 Elipse">
          <a:extLst>
            <a:ext uri="{FF2B5EF4-FFF2-40B4-BE49-F238E27FC236}">
              <a16:creationId xmlns:a16="http://schemas.microsoft.com/office/drawing/2014/main" id="{00000000-0008-0000-1400-00000A000000}"/>
            </a:ext>
          </a:extLst>
        </xdr:cNvPr>
        <xdr:cNvSpPr/>
      </xdr:nvSpPr>
      <xdr:spPr>
        <a:xfrm>
          <a:off x="2886075" y="3248025"/>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2</a:t>
          </a:r>
        </a:p>
      </xdr:txBody>
    </xdr:sp>
    <xdr:clientData/>
  </xdr:twoCellAnchor>
  <xdr:twoCellAnchor>
    <xdr:from>
      <xdr:col>3</xdr:col>
      <xdr:colOff>266700</xdr:colOff>
      <xdr:row>13</xdr:row>
      <xdr:rowOff>114300</xdr:rowOff>
    </xdr:from>
    <xdr:to>
      <xdr:col>3</xdr:col>
      <xdr:colOff>619125</xdr:colOff>
      <xdr:row>15</xdr:row>
      <xdr:rowOff>66675</xdr:rowOff>
    </xdr:to>
    <xdr:sp macro="" textlink="">
      <xdr:nvSpPr>
        <xdr:cNvPr id="11" name="10 Elipse">
          <a:extLst>
            <a:ext uri="{FF2B5EF4-FFF2-40B4-BE49-F238E27FC236}">
              <a16:creationId xmlns:a16="http://schemas.microsoft.com/office/drawing/2014/main" id="{00000000-0008-0000-1400-00000B000000}"/>
            </a:ext>
          </a:extLst>
        </xdr:cNvPr>
        <xdr:cNvSpPr/>
      </xdr:nvSpPr>
      <xdr:spPr>
        <a:xfrm>
          <a:off x="3314700" y="2790825"/>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1</a:t>
          </a:r>
        </a:p>
      </xdr:txBody>
    </xdr:sp>
    <xdr:clientData/>
  </xdr:twoCellAnchor>
  <xdr:twoCellAnchor>
    <xdr:from>
      <xdr:col>3</xdr:col>
      <xdr:colOff>266700</xdr:colOff>
      <xdr:row>15</xdr:row>
      <xdr:rowOff>133350</xdr:rowOff>
    </xdr:from>
    <xdr:to>
      <xdr:col>3</xdr:col>
      <xdr:colOff>590550</xdr:colOff>
      <xdr:row>26</xdr:row>
      <xdr:rowOff>28575</xdr:rowOff>
    </xdr:to>
    <xdr:sp macro="" textlink="">
      <xdr:nvSpPr>
        <xdr:cNvPr id="12" name="11 Rectángulo">
          <a:extLst>
            <a:ext uri="{FF2B5EF4-FFF2-40B4-BE49-F238E27FC236}">
              <a16:creationId xmlns:a16="http://schemas.microsoft.com/office/drawing/2014/main" id="{00000000-0008-0000-1400-00000C000000}"/>
            </a:ext>
          </a:extLst>
        </xdr:cNvPr>
        <xdr:cNvSpPr/>
      </xdr:nvSpPr>
      <xdr:spPr>
        <a:xfrm>
          <a:off x="3314700" y="3190875"/>
          <a:ext cx="323850" cy="19907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MX" sz="1100"/>
        </a:p>
      </xdr:txBody>
    </xdr:sp>
    <xdr:clientData/>
  </xdr:twoCellAnchor>
  <xdr:twoCellAnchor>
    <xdr:from>
      <xdr:col>3</xdr:col>
      <xdr:colOff>666750</xdr:colOff>
      <xdr:row>21</xdr:row>
      <xdr:rowOff>9525</xdr:rowOff>
    </xdr:from>
    <xdr:to>
      <xdr:col>4</xdr:col>
      <xdr:colOff>180975</xdr:colOff>
      <xdr:row>22</xdr:row>
      <xdr:rowOff>152400</xdr:rowOff>
    </xdr:to>
    <xdr:sp macro="" textlink="">
      <xdr:nvSpPr>
        <xdr:cNvPr id="13" name="12 Elipse">
          <a:extLst>
            <a:ext uri="{FF2B5EF4-FFF2-40B4-BE49-F238E27FC236}">
              <a16:creationId xmlns:a16="http://schemas.microsoft.com/office/drawing/2014/main" id="{00000000-0008-0000-1400-00000D000000}"/>
            </a:ext>
          </a:extLst>
        </xdr:cNvPr>
        <xdr:cNvSpPr/>
      </xdr:nvSpPr>
      <xdr:spPr>
        <a:xfrm>
          <a:off x="3714750" y="42100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4</a:t>
          </a:r>
        </a:p>
      </xdr:txBody>
    </xdr:sp>
    <xdr:clientData/>
  </xdr:twoCellAnchor>
  <xdr:twoCellAnchor>
    <xdr:from>
      <xdr:col>4</xdr:col>
      <xdr:colOff>742950</xdr:colOff>
      <xdr:row>13</xdr:row>
      <xdr:rowOff>85725</xdr:rowOff>
    </xdr:from>
    <xdr:to>
      <xdr:col>5</xdr:col>
      <xdr:colOff>333375</xdr:colOff>
      <xdr:row>15</xdr:row>
      <xdr:rowOff>38100</xdr:rowOff>
    </xdr:to>
    <xdr:sp macro="" textlink="">
      <xdr:nvSpPr>
        <xdr:cNvPr id="14" name="13 Elipse">
          <a:extLst>
            <a:ext uri="{FF2B5EF4-FFF2-40B4-BE49-F238E27FC236}">
              <a16:creationId xmlns:a16="http://schemas.microsoft.com/office/drawing/2014/main" id="{00000000-0008-0000-1400-00000E000000}"/>
            </a:ext>
          </a:extLst>
        </xdr:cNvPr>
        <xdr:cNvSpPr/>
      </xdr:nvSpPr>
      <xdr:spPr>
        <a:xfrm>
          <a:off x="4629150" y="27622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1</a:t>
          </a:r>
        </a:p>
      </xdr:txBody>
    </xdr:sp>
    <xdr:clientData/>
  </xdr:twoCellAnchor>
  <xdr:twoCellAnchor>
    <xdr:from>
      <xdr:col>5</xdr:col>
      <xdr:colOff>447675</xdr:colOff>
      <xdr:row>13</xdr:row>
      <xdr:rowOff>76200</xdr:rowOff>
    </xdr:from>
    <xdr:to>
      <xdr:col>6</xdr:col>
      <xdr:colOff>38100</xdr:colOff>
      <xdr:row>15</xdr:row>
      <xdr:rowOff>28575</xdr:rowOff>
    </xdr:to>
    <xdr:sp macro="" textlink="">
      <xdr:nvSpPr>
        <xdr:cNvPr id="15" name="14 Elipse">
          <a:extLst>
            <a:ext uri="{FF2B5EF4-FFF2-40B4-BE49-F238E27FC236}">
              <a16:creationId xmlns:a16="http://schemas.microsoft.com/office/drawing/2014/main" id="{00000000-0008-0000-1400-00000F000000}"/>
            </a:ext>
          </a:extLst>
        </xdr:cNvPr>
        <xdr:cNvSpPr/>
      </xdr:nvSpPr>
      <xdr:spPr>
        <a:xfrm>
          <a:off x="5095875" y="2752725"/>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1</a:t>
          </a:r>
        </a:p>
      </xdr:txBody>
    </xdr:sp>
    <xdr:clientData/>
  </xdr:twoCellAnchor>
  <xdr:twoCellAnchor>
    <xdr:from>
      <xdr:col>4</xdr:col>
      <xdr:colOff>600075</xdr:colOff>
      <xdr:row>15</xdr:row>
      <xdr:rowOff>161925</xdr:rowOff>
    </xdr:from>
    <xdr:to>
      <xdr:col>5</xdr:col>
      <xdr:colOff>190500</xdr:colOff>
      <xdr:row>17</xdr:row>
      <xdr:rowOff>114300</xdr:rowOff>
    </xdr:to>
    <xdr:sp macro="" textlink="">
      <xdr:nvSpPr>
        <xdr:cNvPr id="16" name="15 Elipse">
          <a:extLst>
            <a:ext uri="{FF2B5EF4-FFF2-40B4-BE49-F238E27FC236}">
              <a16:creationId xmlns:a16="http://schemas.microsoft.com/office/drawing/2014/main" id="{00000000-0008-0000-1400-000010000000}"/>
            </a:ext>
          </a:extLst>
        </xdr:cNvPr>
        <xdr:cNvSpPr/>
      </xdr:nvSpPr>
      <xdr:spPr>
        <a:xfrm>
          <a:off x="4486275" y="32194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2</a:t>
          </a:r>
        </a:p>
      </xdr:txBody>
    </xdr:sp>
    <xdr:clientData/>
  </xdr:twoCellAnchor>
  <xdr:twoCellAnchor>
    <xdr:from>
      <xdr:col>5</xdr:col>
      <xdr:colOff>647700</xdr:colOff>
      <xdr:row>15</xdr:row>
      <xdr:rowOff>161925</xdr:rowOff>
    </xdr:from>
    <xdr:to>
      <xdr:col>6</xdr:col>
      <xdr:colOff>238125</xdr:colOff>
      <xdr:row>17</xdr:row>
      <xdr:rowOff>114300</xdr:rowOff>
    </xdr:to>
    <xdr:sp macro="" textlink="">
      <xdr:nvSpPr>
        <xdr:cNvPr id="17" name="16 Elipse">
          <a:extLst>
            <a:ext uri="{FF2B5EF4-FFF2-40B4-BE49-F238E27FC236}">
              <a16:creationId xmlns:a16="http://schemas.microsoft.com/office/drawing/2014/main" id="{00000000-0008-0000-1400-000011000000}"/>
            </a:ext>
          </a:extLst>
        </xdr:cNvPr>
        <xdr:cNvSpPr/>
      </xdr:nvSpPr>
      <xdr:spPr>
        <a:xfrm>
          <a:off x="5295900" y="32194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2</a:t>
          </a:r>
        </a:p>
      </xdr:txBody>
    </xdr:sp>
    <xdr:clientData/>
  </xdr:twoCellAnchor>
  <xdr:twoCellAnchor>
    <xdr:from>
      <xdr:col>4</xdr:col>
      <xdr:colOff>619125</xdr:colOff>
      <xdr:row>18</xdr:row>
      <xdr:rowOff>38100</xdr:rowOff>
    </xdr:from>
    <xdr:to>
      <xdr:col>5</xdr:col>
      <xdr:colOff>209550</xdr:colOff>
      <xdr:row>19</xdr:row>
      <xdr:rowOff>180975</xdr:rowOff>
    </xdr:to>
    <xdr:sp macro="" textlink="">
      <xdr:nvSpPr>
        <xdr:cNvPr id="18" name="17 Elipse">
          <a:extLst>
            <a:ext uri="{FF2B5EF4-FFF2-40B4-BE49-F238E27FC236}">
              <a16:creationId xmlns:a16="http://schemas.microsoft.com/office/drawing/2014/main" id="{00000000-0008-0000-1400-000012000000}"/>
            </a:ext>
          </a:extLst>
        </xdr:cNvPr>
        <xdr:cNvSpPr/>
      </xdr:nvSpPr>
      <xdr:spPr>
        <a:xfrm>
          <a:off x="4505325" y="3667125"/>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3</a:t>
          </a:r>
        </a:p>
      </xdr:txBody>
    </xdr:sp>
    <xdr:clientData/>
  </xdr:twoCellAnchor>
  <xdr:twoCellAnchor>
    <xdr:from>
      <xdr:col>2</xdr:col>
      <xdr:colOff>1371600</xdr:colOff>
      <xdr:row>20</xdr:row>
      <xdr:rowOff>171450</xdr:rowOff>
    </xdr:from>
    <xdr:to>
      <xdr:col>3</xdr:col>
      <xdr:colOff>200025</xdr:colOff>
      <xdr:row>22</xdr:row>
      <xdr:rowOff>123825</xdr:rowOff>
    </xdr:to>
    <xdr:sp macro="" textlink="">
      <xdr:nvSpPr>
        <xdr:cNvPr id="19" name="18 Elipse">
          <a:extLst>
            <a:ext uri="{FF2B5EF4-FFF2-40B4-BE49-F238E27FC236}">
              <a16:creationId xmlns:a16="http://schemas.microsoft.com/office/drawing/2014/main" id="{00000000-0008-0000-1400-000013000000}"/>
            </a:ext>
          </a:extLst>
        </xdr:cNvPr>
        <xdr:cNvSpPr/>
      </xdr:nvSpPr>
      <xdr:spPr>
        <a:xfrm>
          <a:off x="2895600" y="4181475"/>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4</a:t>
          </a:r>
        </a:p>
      </xdr:txBody>
    </xdr:sp>
    <xdr:clientData/>
  </xdr:twoCellAnchor>
  <xdr:twoCellAnchor>
    <xdr:from>
      <xdr:col>5</xdr:col>
      <xdr:colOff>257175</xdr:colOff>
      <xdr:row>15</xdr:row>
      <xdr:rowOff>85725</xdr:rowOff>
    </xdr:from>
    <xdr:to>
      <xdr:col>5</xdr:col>
      <xdr:colOff>581025</xdr:colOff>
      <xdr:row>25</xdr:row>
      <xdr:rowOff>171450</xdr:rowOff>
    </xdr:to>
    <xdr:sp macro="" textlink="">
      <xdr:nvSpPr>
        <xdr:cNvPr id="20" name="19 Rectángulo">
          <a:extLst>
            <a:ext uri="{FF2B5EF4-FFF2-40B4-BE49-F238E27FC236}">
              <a16:creationId xmlns:a16="http://schemas.microsoft.com/office/drawing/2014/main" id="{00000000-0008-0000-1400-000014000000}"/>
            </a:ext>
          </a:extLst>
        </xdr:cNvPr>
        <xdr:cNvSpPr/>
      </xdr:nvSpPr>
      <xdr:spPr>
        <a:xfrm>
          <a:off x="4905375" y="3143250"/>
          <a:ext cx="323850" cy="19907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MX" sz="1100"/>
        </a:p>
      </xdr:txBody>
    </xdr:sp>
    <xdr:clientData/>
  </xdr:twoCellAnchor>
  <xdr:twoCellAnchor>
    <xdr:from>
      <xdr:col>5</xdr:col>
      <xdr:colOff>685800</xdr:colOff>
      <xdr:row>20</xdr:row>
      <xdr:rowOff>161925</xdr:rowOff>
    </xdr:from>
    <xdr:to>
      <xdr:col>6</xdr:col>
      <xdr:colOff>276225</xdr:colOff>
      <xdr:row>22</xdr:row>
      <xdr:rowOff>114300</xdr:rowOff>
    </xdr:to>
    <xdr:sp macro="" textlink="">
      <xdr:nvSpPr>
        <xdr:cNvPr id="21" name="20 Elipse">
          <a:extLst>
            <a:ext uri="{FF2B5EF4-FFF2-40B4-BE49-F238E27FC236}">
              <a16:creationId xmlns:a16="http://schemas.microsoft.com/office/drawing/2014/main" id="{00000000-0008-0000-1400-000015000000}"/>
            </a:ext>
          </a:extLst>
        </xdr:cNvPr>
        <xdr:cNvSpPr/>
      </xdr:nvSpPr>
      <xdr:spPr>
        <a:xfrm>
          <a:off x="5334000" y="41719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4</a:t>
          </a:r>
        </a:p>
      </xdr:txBody>
    </xdr:sp>
    <xdr:clientData/>
  </xdr:twoCellAnchor>
  <xdr:twoCellAnchor>
    <xdr:from>
      <xdr:col>4</xdr:col>
      <xdr:colOff>628650</xdr:colOff>
      <xdr:row>20</xdr:row>
      <xdr:rowOff>123825</xdr:rowOff>
    </xdr:from>
    <xdr:to>
      <xdr:col>5</xdr:col>
      <xdr:colOff>219075</xdr:colOff>
      <xdr:row>22</xdr:row>
      <xdr:rowOff>76200</xdr:rowOff>
    </xdr:to>
    <xdr:sp macro="" textlink="">
      <xdr:nvSpPr>
        <xdr:cNvPr id="22" name="21 Elipse">
          <a:extLst>
            <a:ext uri="{FF2B5EF4-FFF2-40B4-BE49-F238E27FC236}">
              <a16:creationId xmlns:a16="http://schemas.microsoft.com/office/drawing/2014/main" id="{00000000-0008-0000-1400-000016000000}"/>
            </a:ext>
          </a:extLst>
        </xdr:cNvPr>
        <xdr:cNvSpPr/>
      </xdr:nvSpPr>
      <xdr:spPr>
        <a:xfrm>
          <a:off x="4514850" y="413385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4</a:t>
          </a:r>
        </a:p>
      </xdr:txBody>
    </xdr:sp>
    <xdr:clientData/>
  </xdr:twoCellAnchor>
  <xdr:twoCellAnchor>
    <xdr:from>
      <xdr:col>5</xdr:col>
      <xdr:colOff>647700</xdr:colOff>
      <xdr:row>18</xdr:row>
      <xdr:rowOff>66675</xdr:rowOff>
    </xdr:from>
    <xdr:to>
      <xdr:col>6</xdr:col>
      <xdr:colOff>238125</xdr:colOff>
      <xdr:row>20</xdr:row>
      <xdr:rowOff>19050</xdr:rowOff>
    </xdr:to>
    <xdr:sp macro="" textlink="">
      <xdr:nvSpPr>
        <xdr:cNvPr id="23" name="22 Elipse">
          <a:extLst>
            <a:ext uri="{FF2B5EF4-FFF2-40B4-BE49-F238E27FC236}">
              <a16:creationId xmlns:a16="http://schemas.microsoft.com/office/drawing/2014/main" id="{00000000-0008-0000-1400-000017000000}"/>
            </a:ext>
          </a:extLst>
        </xdr:cNvPr>
        <xdr:cNvSpPr/>
      </xdr:nvSpPr>
      <xdr:spPr>
        <a:xfrm>
          <a:off x="5295900" y="3695700"/>
          <a:ext cx="352425" cy="3333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lang="es-MX" sz="1100"/>
            <a:t>3</a:t>
          </a:r>
        </a:p>
      </xdr:txBody>
    </xdr:sp>
    <xdr:clientData/>
  </xdr:twoCellAnchor>
  <xdr:twoCellAnchor>
    <xdr:from>
      <xdr:col>1</xdr:col>
      <xdr:colOff>619125</xdr:colOff>
      <xdr:row>23</xdr:row>
      <xdr:rowOff>19049</xdr:rowOff>
    </xdr:from>
    <xdr:to>
      <xdr:col>2</xdr:col>
      <xdr:colOff>285750</xdr:colOff>
      <xdr:row>25</xdr:row>
      <xdr:rowOff>0</xdr:rowOff>
    </xdr:to>
    <xdr:sp macro="" textlink="">
      <xdr:nvSpPr>
        <xdr:cNvPr id="24" name="23 Marco">
          <a:extLst>
            <a:ext uri="{FF2B5EF4-FFF2-40B4-BE49-F238E27FC236}">
              <a16:creationId xmlns:a16="http://schemas.microsoft.com/office/drawing/2014/main" id="{00000000-0008-0000-1400-000018000000}"/>
            </a:ext>
          </a:extLst>
        </xdr:cNvPr>
        <xdr:cNvSpPr/>
      </xdr:nvSpPr>
      <xdr:spPr>
        <a:xfrm>
          <a:off x="1381125" y="4600574"/>
          <a:ext cx="428625" cy="361951"/>
        </a:xfrm>
        <a:prstGeom prst="frame">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s-MX" sz="1100">
            <a:solidFill>
              <a:schemeClr val="tx1"/>
            </a:solidFill>
          </a:endParaRPr>
        </a:p>
      </xdr:txBody>
    </xdr:sp>
    <xdr:clientData/>
  </xdr:twoCellAnchor>
  <xdr:twoCellAnchor>
    <xdr:from>
      <xdr:col>5</xdr:col>
      <xdr:colOff>600075</xdr:colOff>
      <xdr:row>22</xdr:row>
      <xdr:rowOff>161925</xdr:rowOff>
    </xdr:from>
    <xdr:to>
      <xdr:col>6</xdr:col>
      <xdr:colOff>266700</xdr:colOff>
      <xdr:row>24</xdr:row>
      <xdr:rowOff>142876</xdr:rowOff>
    </xdr:to>
    <xdr:sp macro="" textlink="">
      <xdr:nvSpPr>
        <xdr:cNvPr id="25" name="24 Marco">
          <a:extLst>
            <a:ext uri="{FF2B5EF4-FFF2-40B4-BE49-F238E27FC236}">
              <a16:creationId xmlns:a16="http://schemas.microsoft.com/office/drawing/2014/main" id="{00000000-0008-0000-1400-000019000000}"/>
            </a:ext>
          </a:extLst>
        </xdr:cNvPr>
        <xdr:cNvSpPr/>
      </xdr:nvSpPr>
      <xdr:spPr>
        <a:xfrm>
          <a:off x="5248275" y="4552950"/>
          <a:ext cx="428625" cy="361951"/>
        </a:xfrm>
        <a:prstGeom prst="fram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solidFill>
              <a:schemeClr val="tx1"/>
            </a:solidFill>
          </a:endParaRPr>
        </a:p>
      </xdr:txBody>
    </xdr:sp>
    <xdr:clientData/>
  </xdr:twoCellAnchor>
  <xdr:twoCellAnchor>
    <xdr:from>
      <xdr:col>4</xdr:col>
      <xdr:colOff>581025</xdr:colOff>
      <xdr:row>22</xdr:row>
      <xdr:rowOff>133350</xdr:rowOff>
    </xdr:from>
    <xdr:to>
      <xdr:col>5</xdr:col>
      <xdr:colOff>247650</xdr:colOff>
      <xdr:row>24</xdr:row>
      <xdr:rowOff>114301</xdr:rowOff>
    </xdr:to>
    <xdr:sp macro="" textlink="">
      <xdr:nvSpPr>
        <xdr:cNvPr id="26" name="25 Marco">
          <a:extLst>
            <a:ext uri="{FF2B5EF4-FFF2-40B4-BE49-F238E27FC236}">
              <a16:creationId xmlns:a16="http://schemas.microsoft.com/office/drawing/2014/main" id="{00000000-0008-0000-1400-00001A000000}"/>
            </a:ext>
          </a:extLst>
        </xdr:cNvPr>
        <xdr:cNvSpPr/>
      </xdr:nvSpPr>
      <xdr:spPr>
        <a:xfrm>
          <a:off x="4467225" y="4524375"/>
          <a:ext cx="428625" cy="361951"/>
        </a:xfrm>
        <a:prstGeom prst="fram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solidFill>
              <a:schemeClr val="tx1"/>
            </a:solidFill>
          </a:endParaRPr>
        </a:p>
      </xdr:txBody>
    </xdr:sp>
    <xdr:clientData/>
  </xdr:twoCellAnchor>
  <xdr:twoCellAnchor>
    <xdr:from>
      <xdr:col>3</xdr:col>
      <xdr:colOff>609600</xdr:colOff>
      <xdr:row>23</xdr:row>
      <xdr:rowOff>0</xdr:rowOff>
    </xdr:from>
    <xdr:to>
      <xdr:col>4</xdr:col>
      <xdr:colOff>200025</xdr:colOff>
      <xdr:row>24</xdr:row>
      <xdr:rowOff>171451</xdr:rowOff>
    </xdr:to>
    <xdr:sp macro="" textlink="">
      <xdr:nvSpPr>
        <xdr:cNvPr id="27" name="26 Marco">
          <a:extLst>
            <a:ext uri="{FF2B5EF4-FFF2-40B4-BE49-F238E27FC236}">
              <a16:creationId xmlns:a16="http://schemas.microsoft.com/office/drawing/2014/main" id="{00000000-0008-0000-1400-00001B000000}"/>
            </a:ext>
          </a:extLst>
        </xdr:cNvPr>
        <xdr:cNvSpPr/>
      </xdr:nvSpPr>
      <xdr:spPr>
        <a:xfrm>
          <a:off x="3657600" y="4581525"/>
          <a:ext cx="428625" cy="361951"/>
        </a:xfrm>
        <a:prstGeom prst="fram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solidFill>
              <a:schemeClr val="tx1"/>
            </a:solidFill>
          </a:endParaRPr>
        </a:p>
      </xdr:txBody>
    </xdr:sp>
    <xdr:clientData/>
  </xdr:twoCellAnchor>
  <xdr:twoCellAnchor>
    <xdr:from>
      <xdr:col>2</xdr:col>
      <xdr:colOff>1333500</xdr:colOff>
      <xdr:row>22</xdr:row>
      <xdr:rowOff>180975</xdr:rowOff>
    </xdr:from>
    <xdr:to>
      <xdr:col>3</xdr:col>
      <xdr:colOff>238125</xdr:colOff>
      <xdr:row>24</xdr:row>
      <xdr:rowOff>161926</xdr:rowOff>
    </xdr:to>
    <xdr:sp macro="" textlink="">
      <xdr:nvSpPr>
        <xdr:cNvPr id="28" name="27 Marco">
          <a:extLst>
            <a:ext uri="{FF2B5EF4-FFF2-40B4-BE49-F238E27FC236}">
              <a16:creationId xmlns:a16="http://schemas.microsoft.com/office/drawing/2014/main" id="{00000000-0008-0000-1400-00001C000000}"/>
            </a:ext>
          </a:extLst>
        </xdr:cNvPr>
        <xdr:cNvSpPr/>
      </xdr:nvSpPr>
      <xdr:spPr>
        <a:xfrm>
          <a:off x="2857500" y="4572000"/>
          <a:ext cx="428625" cy="361951"/>
        </a:xfrm>
        <a:prstGeom prst="fram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solidFill>
              <a:schemeClr val="tx1"/>
            </a:solidFill>
          </a:endParaRPr>
        </a:p>
      </xdr:txBody>
    </xdr:sp>
    <xdr:clientData/>
  </xdr:twoCellAnchor>
  <xdr:twoCellAnchor>
    <xdr:from>
      <xdr:col>1</xdr:col>
      <xdr:colOff>171451</xdr:colOff>
      <xdr:row>26</xdr:row>
      <xdr:rowOff>66675</xdr:rowOff>
    </xdr:from>
    <xdr:to>
      <xdr:col>1</xdr:col>
      <xdr:colOff>685801</xdr:colOff>
      <xdr:row>30</xdr:row>
      <xdr:rowOff>95251</xdr:rowOff>
    </xdr:to>
    <xdr:sp macro="" textlink="">
      <xdr:nvSpPr>
        <xdr:cNvPr id="29" name="28 Rectángulo">
          <a:extLst>
            <a:ext uri="{FF2B5EF4-FFF2-40B4-BE49-F238E27FC236}">
              <a16:creationId xmlns:a16="http://schemas.microsoft.com/office/drawing/2014/main" id="{00000000-0008-0000-1400-00001D000000}"/>
            </a:ext>
          </a:extLst>
        </xdr:cNvPr>
        <xdr:cNvSpPr/>
      </xdr:nvSpPr>
      <xdr:spPr>
        <a:xfrm>
          <a:off x="933451" y="5219700"/>
          <a:ext cx="514350" cy="790576"/>
        </a:xfrm>
        <a:prstGeom prst="rect">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s-MX" sz="1100"/>
            <a:t>5</a:t>
          </a:r>
        </a:p>
      </xdr:txBody>
    </xdr:sp>
    <xdr:clientData/>
  </xdr:twoCellAnchor>
  <xdr:twoCellAnchor>
    <xdr:from>
      <xdr:col>3</xdr:col>
      <xdr:colOff>171450</xdr:colOff>
      <xdr:row>26</xdr:row>
      <xdr:rowOff>57150</xdr:rowOff>
    </xdr:from>
    <xdr:to>
      <xdr:col>3</xdr:col>
      <xdr:colOff>685800</xdr:colOff>
      <xdr:row>30</xdr:row>
      <xdr:rowOff>85726</xdr:rowOff>
    </xdr:to>
    <xdr:sp macro="" textlink="">
      <xdr:nvSpPr>
        <xdr:cNvPr id="30" name="29 Rectángulo">
          <a:extLst>
            <a:ext uri="{FF2B5EF4-FFF2-40B4-BE49-F238E27FC236}">
              <a16:creationId xmlns:a16="http://schemas.microsoft.com/office/drawing/2014/main" id="{00000000-0008-0000-1400-00001E000000}"/>
            </a:ext>
          </a:extLst>
        </xdr:cNvPr>
        <xdr:cNvSpPr/>
      </xdr:nvSpPr>
      <xdr:spPr>
        <a:xfrm>
          <a:off x="3219450" y="5210175"/>
          <a:ext cx="514350" cy="790576"/>
        </a:xfrm>
        <a:prstGeom prst="rect">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s-MX" sz="1100"/>
            <a:t>5</a:t>
          </a:r>
        </a:p>
      </xdr:txBody>
    </xdr:sp>
    <xdr:clientData/>
  </xdr:twoCellAnchor>
  <xdr:twoCellAnchor>
    <xdr:from>
      <xdr:col>5</xdr:col>
      <xdr:colOff>180975</xdr:colOff>
      <xdr:row>26</xdr:row>
      <xdr:rowOff>0</xdr:rowOff>
    </xdr:from>
    <xdr:to>
      <xdr:col>5</xdr:col>
      <xdr:colOff>695325</xdr:colOff>
      <xdr:row>30</xdr:row>
      <xdr:rowOff>28576</xdr:rowOff>
    </xdr:to>
    <xdr:sp macro="" textlink="">
      <xdr:nvSpPr>
        <xdr:cNvPr id="31" name="30 Rectángulo">
          <a:extLst>
            <a:ext uri="{FF2B5EF4-FFF2-40B4-BE49-F238E27FC236}">
              <a16:creationId xmlns:a16="http://schemas.microsoft.com/office/drawing/2014/main" id="{00000000-0008-0000-1400-00001F000000}"/>
            </a:ext>
          </a:extLst>
        </xdr:cNvPr>
        <xdr:cNvSpPr/>
      </xdr:nvSpPr>
      <xdr:spPr>
        <a:xfrm>
          <a:off x="4829175" y="5153025"/>
          <a:ext cx="514350" cy="790576"/>
        </a:xfrm>
        <a:prstGeom prst="rect">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s-MX" sz="1100"/>
            <a:t>5</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133349</xdr:colOff>
      <xdr:row>4</xdr:row>
      <xdr:rowOff>95250</xdr:rowOff>
    </xdr:from>
    <xdr:to>
      <xdr:col>4</xdr:col>
      <xdr:colOff>466724</xdr:colOff>
      <xdr:row>7</xdr:row>
      <xdr:rowOff>76200</xdr:rowOff>
    </xdr:to>
    <xdr:sp macro="" textlink="">
      <xdr:nvSpPr>
        <xdr:cNvPr id="2" name="1 Rectángulo">
          <a:extLst>
            <a:ext uri="{FF2B5EF4-FFF2-40B4-BE49-F238E27FC236}">
              <a16:creationId xmlns:a16="http://schemas.microsoft.com/office/drawing/2014/main" id="{00000000-0008-0000-1500-000002000000}"/>
            </a:ext>
          </a:extLst>
        </xdr:cNvPr>
        <xdr:cNvSpPr/>
      </xdr:nvSpPr>
      <xdr:spPr>
        <a:xfrm>
          <a:off x="2419349" y="857250"/>
          <a:ext cx="1095375" cy="552450"/>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Pone</a:t>
          </a:r>
          <a:r>
            <a:rPr lang="es-MX" sz="1100" baseline="0"/>
            <a:t> la orden</a:t>
          </a:r>
          <a:endParaRPr lang="es-MX" sz="1100"/>
        </a:p>
      </xdr:txBody>
    </xdr:sp>
    <xdr:clientData/>
  </xdr:twoCellAnchor>
  <xdr:twoCellAnchor>
    <xdr:from>
      <xdr:col>7</xdr:col>
      <xdr:colOff>666750</xdr:colOff>
      <xdr:row>16</xdr:row>
      <xdr:rowOff>133350</xdr:rowOff>
    </xdr:from>
    <xdr:to>
      <xdr:col>9</xdr:col>
      <xdr:colOff>238125</xdr:colOff>
      <xdr:row>19</xdr:row>
      <xdr:rowOff>114300</xdr:rowOff>
    </xdr:to>
    <xdr:sp macro="" textlink="">
      <xdr:nvSpPr>
        <xdr:cNvPr id="3" name="2 Rectángulo">
          <a:extLst>
            <a:ext uri="{FF2B5EF4-FFF2-40B4-BE49-F238E27FC236}">
              <a16:creationId xmlns:a16="http://schemas.microsoft.com/office/drawing/2014/main" id="{00000000-0008-0000-1500-000003000000}"/>
            </a:ext>
          </a:extLst>
        </xdr:cNvPr>
        <xdr:cNvSpPr/>
      </xdr:nvSpPr>
      <xdr:spPr>
        <a:xfrm>
          <a:off x="6000750" y="3181350"/>
          <a:ext cx="1095375" cy="552450"/>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Registra nuevo cliente</a:t>
          </a:r>
        </a:p>
      </xdr:txBody>
    </xdr:sp>
    <xdr:clientData/>
  </xdr:twoCellAnchor>
  <xdr:twoCellAnchor>
    <xdr:from>
      <xdr:col>13</xdr:col>
      <xdr:colOff>47625</xdr:colOff>
      <xdr:row>20</xdr:row>
      <xdr:rowOff>104775</xdr:rowOff>
    </xdr:from>
    <xdr:to>
      <xdr:col>14</xdr:col>
      <xdr:colOff>381000</xdr:colOff>
      <xdr:row>23</xdr:row>
      <xdr:rowOff>85725</xdr:rowOff>
    </xdr:to>
    <xdr:sp macro="" textlink="">
      <xdr:nvSpPr>
        <xdr:cNvPr id="4" name="3 Rectángulo">
          <a:extLst>
            <a:ext uri="{FF2B5EF4-FFF2-40B4-BE49-F238E27FC236}">
              <a16:creationId xmlns:a16="http://schemas.microsoft.com/office/drawing/2014/main" id="{00000000-0008-0000-1500-000004000000}"/>
            </a:ext>
          </a:extLst>
        </xdr:cNvPr>
        <xdr:cNvSpPr/>
      </xdr:nvSpPr>
      <xdr:spPr>
        <a:xfrm>
          <a:off x="9953625" y="3914775"/>
          <a:ext cx="1095375" cy="552450"/>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Empaca productos</a:t>
          </a:r>
        </a:p>
      </xdr:txBody>
    </xdr:sp>
    <xdr:clientData/>
  </xdr:twoCellAnchor>
  <xdr:twoCellAnchor>
    <xdr:from>
      <xdr:col>13</xdr:col>
      <xdr:colOff>38100</xdr:colOff>
      <xdr:row>8</xdr:row>
      <xdr:rowOff>76200</xdr:rowOff>
    </xdr:from>
    <xdr:to>
      <xdr:col>14</xdr:col>
      <xdr:colOff>371475</xdr:colOff>
      <xdr:row>11</xdr:row>
      <xdr:rowOff>57150</xdr:rowOff>
    </xdr:to>
    <xdr:sp macro="" textlink="">
      <xdr:nvSpPr>
        <xdr:cNvPr id="5" name="4 Rectángulo">
          <a:extLst>
            <a:ext uri="{FF2B5EF4-FFF2-40B4-BE49-F238E27FC236}">
              <a16:creationId xmlns:a16="http://schemas.microsoft.com/office/drawing/2014/main" id="{00000000-0008-0000-1500-000005000000}"/>
            </a:ext>
          </a:extLst>
        </xdr:cNvPr>
        <xdr:cNvSpPr/>
      </xdr:nvSpPr>
      <xdr:spPr>
        <a:xfrm>
          <a:off x="9944100" y="1600200"/>
          <a:ext cx="1095375" cy="552450"/>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Entrega el producto</a:t>
          </a:r>
        </a:p>
      </xdr:txBody>
    </xdr:sp>
    <xdr:clientData/>
  </xdr:twoCellAnchor>
  <xdr:twoCellAnchor>
    <xdr:from>
      <xdr:col>10</xdr:col>
      <xdr:colOff>66675</xdr:colOff>
      <xdr:row>12</xdr:row>
      <xdr:rowOff>114300</xdr:rowOff>
    </xdr:from>
    <xdr:to>
      <xdr:col>11</xdr:col>
      <xdr:colOff>400050</xdr:colOff>
      <xdr:row>15</xdr:row>
      <xdr:rowOff>95250</xdr:rowOff>
    </xdr:to>
    <xdr:sp macro="" textlink="">
      <xdr:nvSpPr>
        <xdr:cNvPr id="6" name="5 Rectángulo">
          <a:extLst>
            <a:ext uri="{FF2B5EF4-FFF2-40B4-BE49-F238E27FC236}">
              <a16:creationId xmlns:a16="http://schemas.microsoft.com/office/drawing/2014/main" id="{00000000-0008-0000-1500-000006000000}"/>
            </a:ext>
          </a:extLst>
        </xdr:cNvPr>
        <xdr:cNvSpPr/>
      </xdr:nvSpPr>
      <xdr:spPr>
        <a:xfrm>
          <a:off x="7686675" y="2400300"/>
          <a:ext cx="1095375" cy="552450"/>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Completa la orden</a:t>
          </a:r>
        </a:p>
      </xdr:txBody>
    </xdr:sp>
    <xdr:clientData/>
  </xdr:twoCellAnchor>
  <xdr:twoCellAnchor>
    <xdr:from>
      <xdr:col>7</xdr:col>
      <xdr:colOff>647700</xdr:colOff>
      <xdr:row>4</xdr:row>
      <xdr:rowOff>95250</xdr:rowOff>
    </xdr:from>
    <xdr:to>
      <xdr:col>9</xdr:col>
      <xdr:colOff>219075</xdr:colOff>
      <xdr:row>7</xdr:row>
      <xdr:rowOff>76200</xdr:rowOff>
    </xdr:to>
    <xdr:sp macro="" textlink="">
      <xdr:nvSpPr>
        <xdr:cNvPr id="7" name="6 Rectángulo">
          <a:extLst>
            <a:ext uri="{FF2B5EF4-FFF2-40B4-BE49-F238E27FC236}">
              <a16:creationId xmlns:a16="http://schemas.microsoft.com/office/drawing/2014/main" id="{00000000-0008-0000-1500-000007000000}"/>
            </a:ext>
          </a:extLst>
        </xdr:cNvPr>
        <xdr:cNvSpPr/>
      </xdr:nvSpPr>
      <xdr:spPr>
        <a:xfrm>
          <a:off x="5981700" y="857250"/>
          <a:ext cx="1095375" cy="552450"/>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Proporciona datos</a:t>
          </a:r>
        </a:p>
      </xdr:txBody>
    </xdr:sp>
    <xdr:clientData/>
  </xdr:twoCellAnchor>
  <xdr:twoCellAnchor>
    <xdr:from>
      <xdr:col>5</xdr:col>
      <xdr:colOff>333375</xdr:colOff>
      <xdr:row>12</xdr:row>
      <xdr:rowOff>104775</xdr:rowOff>
    </xdr:from>
    <xdr:to>
      <xdr:col>6</xdr:col>
      <xdr:colOff>666750</xdr:colOff>
      <xdr:row>15</xdr:row>
      <xdr:rowOff>85725</xdr:rowOff>
    </xdr:to>
    <xdr:sp macro="" textlink="">
      <xdr:nvSpPr>
        <xdr:cNvPr id="8" name="7 Rectángulo">
          <a:extLst>
            <a:ext uri="{FF2B5EF4-FFF2-40B4-BE49-F238E27FC236}">
              <a16:creationId xmlns:a16="http://schemas.microsoft.com/office/drawing/2014/main" id="{00000000-0008-0000-1500-000008000000}"/>
            </a:ext>
          </a:extLst>
        </xdr:cNvPr>
        <xdr:cNvSpPr/>
      </xdr:nvSpPr>
      <xdr:spPr>
        <a:xfrm>
          <a:off x="4143375" y="2390775"/>
          <a:ext cx="1095375" cy="552450"/>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Busca el cliente</a:t>
          </a:r>
        </a:p>
      </xdr:txBody>
    </xdr:sp>
    <xdr:clientData/>
  </xdr:twoCellAnchor>
  <xdr:twoCellAnchor>
    <xdr:from>
      <xdr:col>3</xdr:col>
      <xdr:colOff>152400</xdr:colOff>
      <xdr:row>12</xdr:row>
      <xdr:rowOff>85725</xdr:rowOff>
    </xdr:from>
    <xdr:to>
      <xdr:col>4</xdr:col>
      <xdr:colOff>485775</xdr:colOff>
      <xdr:row>15</xdr:row>
      <xdr:rowOff>66675</xdr:rowOff>
    </xdr:to>
    <xdr:sp macro="" textlink="">
      <xdr:nvSpPr>
        <xdr:cNvPr id="9" name="8 Rectángulo">
          <a:extLst>
            <a:ext uri="{FF2B5EF4-FFF2-40B4-BE49-F238E27FC236}">
              <a16:creationId xmlns:a16="http://schemas.microsoft.com/office/drawing/2014/main" id="{00000000-0008-0000-1500-000009000000}"/>
            </a:ext>
          </a:extLst>
        </xdr:cNvPr>
        <xdr:cNvSpPr/>
      </xdr:nvSpPr>
      <xdr:spPr>
        <a:xfrm>
          <a:off x="2438400" y="2371725"/>
          <a:ext cx="1095375" cy="552450"/>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Toma la orden</a:t>
          </a:r>
        </a:p>
      </xdr:txBody>
    </xdr:sp>
    <xdr:clientData/>
  </xdr:twoCellAnchor>
  <xdr:twoCellAnchor>
    <xdr:from>
      <xdr:col>7</xdr:col>
      <xdr:colOff>571500</xdr:colOff>
      <xdr:row>12</xdr:row>
      <xdr:rowOff>19051</xdr:rowOff>
    </xdr:from>
    <xdr:to>
      <xdr:col>9</xdr:col>
      <xdr:colOff>304800</xdr:colOff>
      <xdr:row>15</xdr:row>
      <xdr:rowOff>133351</xdr:rowOff>
    </xdr:to>
    <xdr:sp macro="" textlink="">
      <xdr:nvSpPr>
        <xdr:cNvPr id="10" name="9 Rombo">
          <a:extLst>
            <a:ext uri="{FF2B5EF4-FFF2-40B4-BE49-F238E27FC236}">
              <a16:creationId xmlns:a16="http://schemas.microsoft.com/office/drawing/2014/main" id="{00000000-0008-0000-1500-00000A000000}"/>
            </a:ext>
          </a:extLst>
        </xdr:cNvPr>
        <xdr:cNvSpPr/>
      </xdr:nvSpPr>
      <xdr:spPr>
        <a:xfrm>
          <a:off x="5905500" y="2305051"/>
          <a:ext cx="1257300" cy="685800"/>
        </a:xfrm>
        <a:prstGeom prst="diamond">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MX" sz="1100"/>
            <a:t>Existe?</a:t>
          </a:r>
        </a:p>
      </xdr:txBody>
    </xdr:sp>
    <xdr:clientData/>
  </xdr:twoCellAnchor>
  <xdr:twoCellAnchor>
    <xdr:from>
      <xdr:col>3</xdr:col>
      <xdr:colOff>681037</xdr:colOff>
      <xdr:row>7</xdr:row>
      <xdr:rowOff>76200</xdr:rowOff>
    </xdr:from>
    <xdr:to>
      <xdr:col>3</xdr:col>
      <xdr:colOff>700088</xdr:colOff>
      <xdr:row>12</xdr:row>
      <xdr:rowOff>85725</xdr:rowOff>
    </xdr:to>
    <xdr:cxnSp macro="">
      <xdr:nvCxnSpPr>
        <xdr:cNvPr id="13" name="12 Conector recto de flecha">
          <a:extLst>
            <a:ext uri="{FF2B5EF4-FFF2-40B4-BE49-F238E27FC236}">
              <a16:creationId xmlns:a16="http://schemas.microsoft.com/office/drawing/2014/main" id="{00000000-0008-0000-1500-00000D000000}"/>
            </a:ext>
          </a:extLst>
        </xdr:cNvPr>
        <xdr:cNvCxnSpPr>
          <a:stCxn id="2" idx="2"/>
          <a:endCxn id="9" idx="0"/>
        </xdr:cNvCxnSpPr>
      </xdr:nvCxnSpPr>
      <xdr:spPr>
        <a:xfrm>
          <a:off x="2967037" y="1409700"/>
          <a:ext cx="19051" cy="9620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485775</xdr:colOff>
      <xdr:row>13</xdr:row>
      <xdr:rowOff>171450</xdr:rowOff>
    </xdr:from>
    <xdr:to>
      <xdr:col>5</xdr:col>
      <xdr:colOff>333375</xdr:colOff>
      <xdr:row>14</xdr:row>
      <xdr:rowOff>0</xdr:rowOff>
    </xdr:to>
    <xdr:cxnSp macro="">
      <xdr:nvCxnSpPr>
        <xdr:cNvPr id="16" name="15 Conector recto de flecha">
          <a:extLst>
            <a:ext uri="{FF2B5EF4-FFF2-40B4-BE49-F238E27FC236}">
              <a16:creationId xmlns:a16="http://schemas.microsoft.com/office/drawing/2014/main" id="{00000000-0008-0000-1500-000010000000}"/>
            </a:ext>
          </a:extLst>
        </xdr:cNvPr>
        <xdr:cNvCxnSpPr>
          <a:stCxn id="9" idx="3"/>
          <a:endCxn id="8" idx="1"/>
        </xdr:cNvCxnSpPr>
      </xdr:nvCxnSpPr>
      <xdr:spPr>
        <a:xfrm>
          <a:off x="3533775" y="2647950"/>
          <a:ext cx="609600"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666750</xdr:colOff>
      <xdr:row>13</xdr:row>
      <xdr:rowOff>171451</xdr:rowOff>
    </xdr:from>
    <xdr:to>
      <xdr:col>7</xdr:col>
      <xdr:colOff>571500</xdr:colOff>
      <xdr:row>14</xdr:row>
      <xdr:rowOff>0</xdr:rowOff>
    </xdr:to>
    <xdr:cxnSp macro="">
      <xdr:nvCxnSpPr>
        <xdr:cNvPr id="19" name="18 Conector recto de flecha">
          <a:extLst>
            <a:ext uri="{FF2B5EF4-FFF2-40B4-BE49-F238E27FC236}">
              <a16:creationId xmlns:a16="http://schemas.microsoft.com/office/drawing/2014/main" id="{00000000-0008-0000-1500-000013000000}"/>
            </a:ext>
          </a:extLst>
        </xdr:cNvPr>
        <xdr:cNvCxnSpPr>
          <a:stCxn id="8" idx="3"/>
          <a:endCxn id="10" idx="1"/>
        </xdr:cNvCxnSpPr>
      </xdr:nvCxnSpPr>
      <xdr:spPr>
        <a:xfrm flipV="1">
          <a:off x="5238750" y="2647951"/>
          <a:ext cx="666750" cy="1904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304800</xdr:colOff>
      <xdr:row>13</xdr:row>
      <xdr:rowOff>171451</xdr:rowOff>
    </xdr:from>
    <xdr:to>
      <xdr:col>10</xdr:col>
      <xdr:colOff>66675</xdr:colOff>
      <xdr:row>14</xdr:row>
      <xdr:rowOff>9525</xdr:rowOff>
    </xdr:to>
    <xdr:cxnSp macro="">
      <xdr:nvCxnSpPr>
        <xdr:cNvPr id="24" name="23 Conector recto de flecha">
          <a:extLst>
            <a:ext uri="{FF2B5EF4-FFF2-40B4-BE49-F238E27FC236}">
              <a16:creationId xmlns:a16="http://schemas.microsoft.com/office/drawing/2014/main" id="{00000000-0008-0000-1500-000018000000}"/>
            </a:ext>
          </a:extLst>
        </xdr:cNvPr>
        <xdr:cNvCxnSpPr>
          <a:stCxn id="10" idx="3"/>
          <a:endCxn id="6" idx="1"/>
        </xdr:cNvCxnSpPr>
      </xdr:nvCxnSpPr>
      <xdr:spPr>
        <a:xfrm>
          <a:off x="7162800" y="2647951"/>
          <a:ext cx="523875" cy="285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433388</xdr:colOff>
      <xdr:row>7</xdr:row>
      <xdr:rowOff>76200</xdr:rowOff>
    </xdr:from>
    <xdr:to>
      <xdr:col>8</xdr:col>
      <xdr:colOff>438150</xdr:colOff>
      <xdr:row>12</xdr:row>
      <xdr:rowOff>19051</xdr:rowOff>
    </xdr:to>
    <xdr:cxnSp macro="">
      <xdr:nvCxnSpPr>
        <xdr:cNvPr id="27" name="26 Conector recto de flecha">
          <a:extLst>
            <a:ext uri="{FF2B5EF4-FFF2-40B4-BE49-F238E27FC236}">
              <a16:creationId xmlns:a16="http://schemas.microsoft.com/office/drawing/2014/main" id="{00000000-0008-0000-1500-00001B000000}"/>
            </a:ext>
          </a:extLst>
        </xdr:cNvPr>
        <xdr:cNvCxnSpPr>
          <a:stCxn id="10" idx="0"/>
          <a:endCxn id="7" idx="2"/>
        </xdr:cNvCxnSpPr>
      </xdr:nvCxnSpPr>
      <xdr:spPr>
        <a:xfrm flipH="1" flipV="1">
          <a:off x="6529388" y="1409700"/>
          <a:ext cx="4762" cy="89535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219075</xdr:colOff>
      <xdr:row>5</xdr:row>
      <xdr:rowOff>180975</xdr:rowOff>
    </xdr:from>
    <xdr:to>
      <xdr:col>10</xdr:col>
      <xdr:colOff>561975</xdr:colOff>
      <xdr:row>6</xdr:row>
      <xdr:rowOff>19050</xdr:rowOff>
    </xdr:to>
    <xdr:cxnSp macro="">
      <xdr:nvCxnSpPr>
        <xdr:cNvPr id="31" name="30 Conector recto">
          <a:extLst>
            <a:ext uri="{FF2B5EF4-FFF2-40B4-BE49-F238E27FC236}">
              <a16:creationId xmlns:a16="http://schemas.microsoft.com/office/drawing/2014/main" id="{00000000-0008-0000-1500-00001F000000}"/>
            </a:ext>
          </a:extLst>
        </xdr:cNvPr>
        <xdr:cNvCxnSpPr>
          <a:stCxn id="7" idx="3"/>
        </xdr:cNvCxnSpPr>
      </xdr:nvCxnSpPr>
      <xdr:spPr>
        <a:xfrm>
          <a:off x="7077075" y="1133475"/>
          <a:ext cx="1104900" cy="285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581025</xdr:colOff>
      <xdr:row>6</xdr:row>
      <xdr:rowOff>28575</xdr:rowOff>
    </xdr:from>
    <xdr:to>
      <xdr:col>10</xdr:col>
      <xdr:colOff>614363</xdr:colOff>
      <xdr:row>12</xdr:row>
      <xdr:rowOff>114300</xdr:rowOff>
    </xdr:to>
    <xdr:cxnSp macro="">
      <xdr:nvCxnSpPr>
        <xdr:cNvPr id="34" name="33 Conector recto de flecha">
          <a:extLst>
            <a:ext uri="{FF2B5EF4-FFF2-40B4-BE49-F238E27FC236}">
              <a16:creationId xmlns:a16="http://schemas.microsoft.com/office/drawing/2014/main" id="{00000000-0008-0000-1500-000022000000}"/>
            </a:ext>
          </a:extLst>
        </xdr:cNvPr>
        <xdr:cNvCxnSpPr>
          <a:endCxn id="6" idx="0"/>
        </xdr:cNvCxnSpPr>
      </xdr:nvCxnSpPr>
      <xdr:spPr>
        <a:xfrm>
          <a:off x="8201025" y="1171575"/>
          <a:ext cx="33338" cy="12287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614363</xdr:colOff>
      <xdr:row>15</xdr:row>
      <xdr:rowOff>95250</xdr:rowOff>
    </xdr:from>
    <xdr:to>
      <xdr:col>10</xdr:col>
      <xdr:colOff>638175</xdr:colOff>
      <xdr:row>22</xdr:row>
      <xdr:rowOff>19050</xdr:rowOff>
    </xdr:to>
    <xdr:cxnSp macro="">
      <xdr:nvCxnSpPr>
        <xdr:cNvPr id="37" name="36 Conector recto">
          <a:extLst>
            <a:ext uri="{FF2B5EF4-FFF2-40B4-BE49-F238E27FC236}">
              <a16:creationId xmlns:a16="http://schemas.microsoft.com/office/drawing/2014/main" id="{00000000-0008-0000-1500-000025000000}"/>
            </a:ext>
          </a:extLst>
        </xdr:cNvPr>
        <xdr:cNvCxnSpPr>
          <a:stCxn id="6" idx="2"/>
        </xdr:cNvCxnSpPr>
      </xdr:nvCxnSpPr>
      <xdr:spPr>
        <a:xfrm>
          <a:off x="8234363" y="2952750"/>
          <a:ext cx="23812" cy="1257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647700</xdr:colOff>
      <xdr:row>22</xdr:row>
      <xdr:rowOff>0</xdr:rowOff>
    </xdr:from>
    <xdr:to>
      <xdr:col>13</xdr:col>
      <xdr:colOff>47625</xdr:colOff>
      <xdr:row>22</xdr:row>
      <xdr:rowOff>0</xdr:rowOff>
    </xdr:to>
    <xdr:cxnSp macro="">
      <xdr:nvCxnSpPr>
        <xdr:cNvPr id="40" name="39 Conector recto de flecha">
          <a:extLst>
            <a:ext uri="{FF2B5EF4-FFF2-40B4-BE49-F238E27FC236}">
              <a16:creationId xmlns:a16="http://schemas.microsoft.com/office/drawing/2014/main" id="{00000000-0008-0000-1500-000028000000}"/>
            </a:ext>
          </a:extLst>
        </xdr:cNvPr>
        <xdr:cNvCxnSpPr>
          <a:endCxn id="4" idx="1"/>
        </xdr:cNvCxnSpPr>
      </xdr:nvCxnSpPr>
      <xdr:spPr>
        <a:xfrm>
          <a:off x="8267700" y="4191000"/>
          <a:ext cx="16859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585788</xdr:colOff>
      <xdr:row>11</xdr:row>
      <xdr:rowOff>57150</xdr:rowOff>
    </xdr:from>
    <xdr:to>
      <xdr:col>13</xdr:col>
      <xdr:colOff>595313</xdr:colOff>
      <xdr:row>20</xdr:row>
      <xdr:rowOff>104775</xdr:rowOff>
    </xdr:to>
    <xdr:cxnSp macro="">
      <xdr:nvCxnSpPr>
        <xdr:cNvPr id="43" name="42 Conector recto de flecha">
          <a:extLst>
            <a:ext uri="{FF2B5EF4-FFF2-40B4-BE49-F238E27FC236}">
              <a16:creationId xmlns:a16="http://schemas.microsoft.com/office/drawing/2014/main" id="{00000000-0008-0000-1500-00002B000000}"/>
            </a:ext>
          </a:extLst>
        </xdr:cNvPr>
        <xdr:cNvCxnSpPr>
          <a:stCxn id="4" idx="0"/>
          <a:endCxn id="5" idx="2"/>
        </xdr:cNvCxnSpPr>
      </xdr:nvCxnSpPr>
      <xdr:spPr>
        <a:xfrm flipH="1" flipV="1">
          <a:off x="10491788" y="2152650"/>
          <a:ext cx="9525" cy="17621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438150</xdr:colOff>
      <xdr:row>15</xdr:row>
      <xdr:rowOff>133351</xdr:rowOff>
    </xdr:from>
    <xdr:to>
      <xdr:col>8</xdr:col>
      <xdr:colOff>452438</xdr:colOff>
      <xdr:row>16</xdr:row>
      <xdr:rowOff>133350</xdr:rowOff>
    </xdr:to>
    <xdr:cxnSp macro="">
      <xdr:nvCxnSpPr>
        <xdr:cNvPr id="48" name="47 Conector recto de flecha">
          <a:extLst>
            <a:ext uri="{FF2B5EF4-FFF2-40B4-BE49-F238E27FC236}">
              <a16:creationId xmlns:a16="http://schemas.microsoft.com/office/drawing/2014/main" id="{00000000-0008-0000-1500-000030000000}"/>
            </a:ext>
          </a:extLst>
        </xdr:cNvPr>
        <xdr:cNvCxnSpPr>
          <a:stCxn id="10" idx="2"/>
          <a:endCxn id="3" idx="0"/>
        </xdr:cNvCxnSpPr>
      </xdr:nvCxnSpPr>
      <xdr:spPr>
        <a:xfrm>
          <a:off x="6534150" y="2990851"/>
          <a:ext cx="14288" cy="19049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552449</xdr:colOff>
      <xdr:row>5</xdr:row>
      <xdr:rowOff>90487</xdr:rowOff>
    </xdr:from>
    <xdr:to>
      <xdr:col>14</xdr:col>
      <xdr:colOff>9524</xdr:colOff>
      <xdr:row>19</xdr:row>
      <xdr:rowOff>166687</xdr:rowOff>
    </xdr:to>
    <xdr:graphicFrame macro="">
      <xdr:nvGraphicFramePr>
        <xdr:cNvPr id="6" name="5 Gráfico">
          <a:extLst>
            <a:ext uri="{FF2B5EF4-FFF2-40B4-BE49-F238E27FC236}">
              <a16:creationId xmlns:a16="http://schemas.microsoft.com/office/drawing/2014/main" id="{00000000-0008-0000-1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790575</xdr:colOff>
      <xdr:row>3</xdr:row>
      <xdr:rowOff>9525</xdr:rowOff>
    </xdr:from>
    <xdr:to>
      <xdr:col>1</xdr:col>
      <xdr:colOff>800100</xdr:colOff>
      <xdr:row>4</xdr:row>
      <xdr:rowOff>161925</xdr:rowOff>
    </xdr:to>
    <xdr:cxnSp macro="">
      <xdr:nvCxnSpPr>
        <xdr:cNvPr id="8" name="7 Conector recto de flecha">
          <a:extLst>
            <a:ext uri="{FF2B5EF4-FFF2-40B4-BE49-F238E27FC236}">
              <a16:creationId xmlns:a16="http://schemas.microsoft.com/office/drawing/2014/main" id="{00000000-0008-0000-1600-000008000000}"/>
            </a:ext>
          </a:extLst>
        </xdr:cNvPr>
        <xdr:cNvCxnSpPr/>
      </xdr:nvCxnSpPr>
      <xdr:spPr>
        <a:xfrm>
          <a:off x="1552575" y="390525"/>
          <a:ext cx="9525" cy="3429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514350</xdr:colOff>
      <xdr:row>3</xdr:row>
      <xdr:rowOff>28575</xdr:rowOff>
    </xdr:from>
    <xdr:to>
      <xdr:col>2</xdr:col>
      <xdr:colOff>523875</xdr:colOff>
      <xdr:row>4</xdr:row>
      <xdr:rowOff>180975</xdr:rowOff>
    </xdr:to>
    <xdr:cxnSp macro="">
      <xdr:nvCxnSpPr>
        <xdr:cNvPr id="10" name="9 Conector recto de flecha">
          <a:extLst>
            <a:ext uri="{FF2B5EF4-FFF2-40B4-BE49-F238E27FC236}">
              <a16:creationId xmlns:a16="http://schemas.microsoft.com/office/drawing/2014/main" id="{00000000-0008-0000-1600-00000A000000}"/>
            </a:ext>
          </a:extLst>
        </xdr:cNvPr>
        <xdr:cNvCxnSpPr/>
      </xdr:nvCxnSpPr>
      <xdr:spPr>
        <a:xfrm>
          <a:off x="2800350" y="409575"/>
          <a:ext cx="9525" cy="3429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714376</xdr:colOff>
      <xdr:row>9</xdr:row>
      <xdr:rowOff>85725</xdr:rowOff>
    </xdr:from>
    <xdr:to>
      <xdr:col>8</xdr:col>
      <xdr:colOff>666750</xdr:colOff>
      <xdr:row>9</xdr:row>
      <xdr:rowOff>161925</xdr:rowOff>
    </xdr:to>
    <xdr:cxnSp macro="">
      <xdr:nvCxnSpPr>
        <xdr:cNvPr id="3" name="2 Conector recto de flecha">
          <a:extLst>
            <a:ext uri="{FF2B5EF4-FFF2-40B4-BE49-F238E27FC236}">
              <a16:creationId xmlns:a16="http://schemas.microsoft.com/office/drawing/2014/main" id="{00000000-0008-0000-1B00-000003000000}"/>
            </a:ext>
          </a:extLst>
        </xdr:cNvPr>
        <xdr:cNvCxnSpPr/>
      </xdr:nvCxnSpPr>
      <xdr:spPr>
        <a:xfrm flipH="1">
          <a:off x="5286376" y="1800225"/>
          <a:ext cx="1476374" cy="762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600075</xdr:colOff>
      <xdr:row>2</xdr:row>
      <xdr:rowOff>114300</xdr:rowOff>
    </xdr:from>
    <xdr:to>
      <xdr:col>10</xdr:col>
      <xdr:colOff>609600</xdr:colOff>
      <xdr:row>2</xdr:row>
      <xdr:rowOff>114300</xdr:rowOff>
    </xdr:to>
    <xdr:cxnSp macro="">
      <xdr:nvCxnSpPr>
        <xdr:cNvPr id="4" name="3 Conector recto de flecha">
          <a:extLst>
            <a:ext uri="{FF2B5EF4-FFF2-40B4-BE49-F238E27FC236}">
              <a16:creationId xmlns:a16="http://schemas.microsoft.com/office/drawing/2014/main" id="{00000000-0008-0000-1B00-000004000000}"/>
            </a:ext>
          </a:extLst>
        </xdr:cNvPr>
        <xdr:cNvCxnSpPr/>
      </xdr:nvCxnSpPr>
      <xdr:spPr>
        <a:xfrm>
          <a:off x="7458075" y="495300"/>
          <a:ext cx="7715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609600</xdr:colOff>
      <xdr:row>3</xdr:row>
      <xdr:rowOff>123825</xdr:rowOff>
    </xdr:from>
    <xdr:to>
      <xdr:col>10</xdr:col>
      <xdr:colOff>619125</xdr:colOff>
      <xdr:row>3</xdr:row>
      <xdr:rowOff>123825</xdr:rowOff>
    </xdr:to>
    <xdr:cxnSp macro="">
      <xdr:nvCxnSpPr>
        <xdr:cNvPr id="6" name="5 Conector recto de flecha">
          <a:extLst>
            <a:ext uri="{FF2B5EF4-FFF2-40B4-BE49-F238E27FC236}">
              <a16:creationId xmlns:a16="http://schemas.microsoft.com/office/drawing/2014/main" id="{00000000-0008-0000-1B00-000006000000}"/>
            </a:ext>
          </a:extLst>
        </xdr:cNvPr>
        <xdr:cNvCxnSpPr/>
      </xdr:nvCxnSpPr>
      <xdr:spPr>
        <a:xfrm>
          <a:off x="7467600" y="742950"/>
          <a:ext cx="7715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161925</xdr:colOff>
      <xdr:row>7</xdr:row>
      <xdr:rowOff>104775</xdr:rowOff>
    </xdr:from>
    <xdr:to>
      <xdr:col>3</xdr:col>
      <xdr:colOff>1266825</xdr:colOff>
      <xdr:row>7</xdr:row>
      <xdr:rowOff>104775</xdr:rowOff>
    </xdr:to>
    <xdr:cxnSp macro="">
      <xdr:nvCxnSpPr>
        <xdr:cNvPr id="3" name="2 Conector recto de flecha">
          <a:extLst>
            <a:ext uri="{FF2B5EF4-FFF2-40B4-BE49-F238E27FC236}">
              <a16:creationId xmlns:a16="http://schemas.microsoft.com/office/drawing/2014/main" id="{00000000-0008-0000-1C00-000003000000}"/>
            </a:ext>
          </a:extLst>
        </xdr:cNvPr>
        <xdr:cNvCxnSpPr/>
      </xdr:nvCxnSpPr>
      <xdr:spPr>
        <a:xfrm>
          <a:off x="2447925" y="1438275"/>
          <a:ext cx="11049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8</xdr:row>
      <xdr:rowOff>104775</xdr:rowOff>
    </xdr:from>
    <xdr:to>
      <xdr:col>3</xdr:col>
      <xdr:colOff>1266825</xdr:colOff>
      <xdr:row>8</xdr:row>
      <xdr:rowOff>104775</xdr:rowOff>
    </xdr:to>
    <xdr:cxnSp macro="">
      <xdr:nvCxnSpPr>
        <xdr:cNvPr id="6" name="5 Conector recto de flecha">
          <a:extLst>
            <a:ext uri="{FF2B5EF4-FFF2-40B4-BE49-F238E27FC236}">
              <a16:creationId xmlns:a16="http://schemas.microsoft.com/office/drawing/2014/main" id="{00000000-0008-0000-1C00-000006000000}"/>
            </a:ext>
          </a:extLst>
        </xdr:cNvPr>
        <xdr:cNvCxnSpPr/>
      </xdr:nvCxnSpPr>
      <xdr:spPr>
        <a:xfrm>
          <a:off x="2447925" y="1628775"/>
          <a:ext cx="11049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171450</xdr:colOff>
      <xdr:row>9</xdr:row>
      <xdr:rowOff>114300</xdr:rowOff>
    </xdr:from>
    <xdr:to>
      <xdr:col>3</xdr:col>
      <xdr:colOff>1276350</xdr:colOff>
      <xdr:row>9</xdr:row>
      <xdr:rowOff>114300</xdr:rowOff>
    </xdr:to>
    <xdr:cxnSp macro="">
      <xdr:nvCxnSpPr>
        <xdr:cNvPr id="7" name="6 Conector recto de flecha">
          <a:extLst>
            <a:ext uri="{FF2B5EF4-FFF2-40B4-BE49-F238E27FC236}">
              <a16:creationId xmlns:a16="http://schemas.microsoft.com/office/drawing/2014/main" id="{00000000-0008-0000-1C00-000007000000}"/>
            </a:ext>
          </a:extLst>
        </xdr:cNvPr>
        <xdr:cNvCxnSpPr/>
      </xdr:nvCxnSpPr>
      <xdr:spPr>
        <a:xfrm>
          <a:off x="2457450" y="1828800"/>
          <a:ext cx="11049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152400</xdr:colOff>
      <xdr:row>10</xdr:row>
      <xdr:rowOff>95250</xdr:rowOff>
    </xdr:from>
    <xdr:to>
      <xdr:col>3</xdr:col>
      <xdr:colOff>1257300</xdr:colOff>
      <xdr:row>10</xdr:row>
      <xdr:rowOff>95250</xdr:rowOff>
    </xdr:to>
    <xdr:cxnSp macro="">
      <xdr:nvCxnSpPr>
        <xdr:cNvPr id="8" name="7 Conector recto de flecha">
          <a:extLst>
            <a:ext uri="{FF2B5EF4-FFF2-40B4-BE49-F238E27FC236}">
              <a16:creationId xmlns:a16="http://schemas.microsoft.com/office/drawing/2014/main" id="{00000000-0008-0000-1C00-000008000000}"/>
            </a:ext>
          </a:extLst>
        </xdr:cNvPr>
        <xdr:cNvCxnSpPr/>
      </xdr:nvCxnSpPr>
      <xdr:spPr>
        <a:xfrm>
          <a:off x="2438400" y="2000250"/>
          <a:ext cx="11049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238125</xdr:colOff>
      <xdr:row>42</xdr:row>
      <xdr:rowOff>114300</xdr:rowOff>
    </xdr:from>
    <xdr:to>
      <xdr:col>10</xdr:col>
      <xdr:colOff>85725</xdr:colOff>
      <xdr:row>46</xdr:row>
      <xdr:rowOff>28575</xdr:rowOff>
    </xdr:to>
    <xdr:sp macro="" textlink="">
      <xdr:nvSpPr>
        <xdr:cNvPr id="2" name="1 Rectángulo">
          <a:extLst>
            <a:ext uri="{FF2B5EF4-FFF2-40B4-BE49-F238E27FC236}">
              <a16:creationId xmlns:a16="http://schemas.microsoft.com/office/drawing/2014/main" id="{00000000-0008-0000-2100-000002000000}"/>
            </a:ext>
          </a:extLst>
        </xdr:cNvPr>
        <xdr:cNvSpPr/>
      </xdr:nvSpPr>
      <xdr:spPr>
        <a:xfrm>
          <a:off x="7477125" y="7924800"/>
          <a:ext cx="1371600" cy="6762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Efecto</a:t>
          </a:r>
        </a:p>
      </xdr:txBody>
    </xdr:sp>
    <xdr:clientData/>
  </xdr:twoCellAnchor>
  <xdr:twoCellAnchor>
    <xdr:from>
      <xdr:col>3</xdr:col>
      <xdr:colOff>676275</xdr:colOff>
      <xdr:row>44</xdr:row>
      <xdr:rowOff>47625</xdr:rowOff>
    </xdr:from>
    <xdr:to>
      <xdr:col>8</xdr:col>
      <xdr:colOff>238125</xdr:colOff>
      <xdr:row>44</xdr:row>
      <xdr:rowOff>71438</xdr:rowOff>
    </xdr:to>
    <xdr:cxnSp macro="">
      <xdr:nvCxnSpPr>
        <xdr:cNvPr id="4" name="3 Conector recto de flecha">
          <a:extLst>
            <a:ext uri="{FF2B5EF4-FFF2-40B4-BE49-F238E27FC236}">
              <a16:creationId xmlns:a16="http://schemas.microsoft.com/office/drawing/2014/main" id="{00000000-0008-0000-2100-000004000000}"/>
            </a:ext>
          </a:extLst>
        </xdr:cNvPr>
        <xdr:cNvCxnSpPr>
          <a:endCxn id="2" idx="1"/>
        </xdr:cNvCxnSpPr>
      </xdr:nvCxnSpPr>
      <xdr:spPr>
        <a:xfrm>
          <a:off x="2962275" y="8239125"/>
          <a:ext cx="4514850" cy="2381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714375</xdr:colOff>
      <xdr:row>40</xdr:row>
      <xdr:rowOff>95250</xdr:rowOff>
    </xdr:from>
    <xdr:to>
      <xdr:col>7</xdr:col>
      <xdr:colOff>533400</xdr:colOff>
      <xdr:row>44</xdr:row>
      <xdr:rowOff>76200</xdr:rowOff>
    </xdr:to>
    <xdr:cxnSp macro="">
      <xdr:nvCxnSpPr>
        <xdr:cNvPr id="8" name="7 Conector recto de flecha">
          <a:extLst>
            <a:ext uri="{FF2B5EF4-FFF2-40B4-BE49-F238E27FC236}">
              <a16:creationId xmlns:a16="http://schemas.microsoft.com/office/drawing/2014/main" id="{00000000-0008-0000-2100-000008000000}"/>
            </a:ext>
          </a:extLst>
        </xdr:cNvPr>
        <xdr:cNvCxnSpPr/>
      </xdr:nvCxnSpPr>
      <xdr:spPr>
        <a:xfrm>
          <a:off x="5838825" y="7524750"/>
          <a:ext cx="771525" cy="7429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390525</xdr:colOff>
      <xdr:row>40</xdr:row>
      <xdr:rowOff>66675</xdr:rowOff>
    </xdr:from>
    <xdr:to>
      <xdr:col>5</xdr:col>
      <xdr:colOff>400050</xdr:colOff>
      <xdr:row>44</xdr:row>
      <xdr:rowOff>47625</xdr:rowOff>
    </xdr:to>
    <xdr:cxnSp macro="">
      <xdr:nvCxnSpPr>
        <xdr:cNvPr id="10" name="9 Conector recto de flecha">
          <a:extLst>
            <a:ext uri="{FF2B5EF4-FFF2-40B4-BE49-F238E27FC236}">
              <a16:creationId xmlns:a16="http://schemas.microsoft.com/office/drawing/2014/main" id="{00000000-0008-0000-2100-00000A000000}"/>
            </a:ext>
          </a:extLst>
        </xdr:cNvPr>
        <xdr:cNvCxnSpPr/>
      </xdr:nvCxnSpPr>
      <xdr:spPr>
        <a:xfrm>
          <a:off x="3438525" y="7496175"/>
          <a:ext cx="771525" cy="7429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200025</xdr:colOff>
      <xdr:row>44</xdr:row>
      <xdr:rowOff>95251</xdr:rowOff>
    </xdr:from>
    <xdr:to>
      <xdr:col>7</xdr:col>
      <xdr:colOff>428625</xdr:colOff>
      <xdr:row>48</xdr:row>
      <xdr:rowOff>19050</xdr:rowOff>
    </xdr:to>
    <xdr:cxnSp macro="">
      <xdr:nvCxnSpPr>
        <xdr:cNvPr id="11" name="10 Conector recto de flecha">
          <a:extLst>
            <a:ext uri="{FF2B5EF4-FFF2-40B4-BE49-F238E27FC236}">
              <a16:creationId xmlns:a16="http://schemas.microsoft.com/office/drawing/2014/main" id="{00000000-0008-0000-2100-00000B000000}"/>
            </a:ext>
          </a:extLst>
        </xdr:cNvPr>
        <xdr:cNvCxnSpPr/>
      </xdr:nvCxnSpPr>
      <xdr:spPr>
        <a:xfrm flipV="1">
          <a:off x="5324475" y="8286751"/>
          <a:ext cx="1181100" cy="68579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638175</xdr:colOff>
      <xdr:row>44</xdr:row>
      <xdr:rowOff>85725</xdr:rowOff>
    </xdr:from>
    <xdr:to>
      <xdr:col>5</xdr:col>
      <xdr:colOff>295275</xdr:colOff>
      <xdr:row>48</xdr:row>
      <xdr:rowOff>9524</xdr:rowOff>
    </xdr:to>
    <xdr:cxnSp macro="">
      <xdr:nvCxnSpPr>
        <xdr:cNvPr id="14" name="13 Conector recto de flecha">
          <a:extLst>
            <a:ext uri="{FF2B5EF4-FFF2-40B4-BE49-F238E27FC236}">
              <a16:creationId xmlns:a16="http://schemas.microsoft.com/office/drawing/2014/main" id="{00000000-0008-0000-2100-00000E000000}"/>
            </a:ext>
          </a:extLst>
        </xdr:cNvPr>
        <xdr:cNvCxnSpPr/>
      </xdr:nvCxnSpPr>
      <xdr:spPr>
        <a:xfrm flipV="1">
          <a:off x="2924175" y="8277225"/>
          <a:ext cx="1181100" cy="68579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657225</xdr:colOff>
      <xdr:row>38</xdr:row>
      <xdr:rowOff>104775</xdr:rowOff>
    </xdr:from>
    <xdr:to>
      <xdr:col>5</xdr:col>
      <xdr:colOff>47625</xdr:colOff>
      <xdr:row>40</xdr:row>
      <xdr:rowOff>76200</xdr:rowOff>
    </xdr:to>
    <xdr:sp macro="" textlink="">
      <xdr:nvSpPr>
        <xdr:cNvPr id="15" name="14 Rectángulo">
          <a:extLst>
            <a:ext uri="{FF2B5EF4-FFF2-40B4-BE49-F238E27FC236}">
              <a16:creationId xmlns:a16="http://schemas.microsoft.com/office/drawing/2014/main" id="{00000000-0008-0000-2100-00000F000000}"/>
            </a:ext>
          </a:extLst>
        </xdr:cNvPr>
        <xdr:cNvSpPr/>
      </xdr:nvSpPr>
      <xdr:spPr>
        <a:xfrm>
          <a:off x="2943225" y="7153275"/>
          <a:ext cx="914400" cy="3524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Metodos</a:t>
          </a:r>
        </a:p>
      </xdr:txBody>
    </xdr:sp>
    <xdr:clientData/>
  </xdr:twoCellAnchor>
  <xdr:twoCellAnchor>
    <xdr:from>
      <xdr:col>6</xdr:col>
      <xdr:colOff>295275</xdr:colOff>
      <xdr:row>38</xdr:row>
      <xdr:rowOff>171450</xdr:rowOff>
    </xdr:from>
    <xdr:to>
      <xdr:col>7</xdr:col>
      <xdr:colOff>257175</xdr:colOff>
      <xdr:row>40</xdr:row>
      <xdr:rowOff>142875</xdr:rowOff>
    </xdr:to>
    <xdr:sp macro="" textlink="">
      <xdr:nvSpPr>
        <xdr:cNvPr id="16" name="15 Rectángulo">
          <a:extLst>
            <a:ext uri="{FF2B5EF4-FFF2-40B4-BE49-F238E27FC236}">
              <a16:creationId xmlns:a16="http://schemas.microsoft.com/office/drawing/2014/main" id="{00000000-0008-0000-2100-000010000000}"/>
            </a:ext>
          </a:extLst>
        </xdr:cNvPr>
        <xdr:cNvSpPr/>
      </xdr:nvSpPr>
      <xdr:spPr>
        <a:xfrm>
          <a:off x="5419725" y="7219950"/>
          <a:ext cx="914400" cy="3524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Material</a:t>
          </a:r>
        </a:p>
      </xdr:txBody>
    </xdr:sp>
    <xdr:clientData/>
  </xdr:twoCellAnchor>
  <xdr:twoCellAnchor>
    <xdr:from>
      <xdr:col>3</xdr:col>
      <xdr:colOff>142874</xdr:colOff>
      <xdr:row>48</xdr:row>
      <xdr:rowOff>19050</xdr:rowOff>
    </xdr:from>
    <xdr:to>
      <xdr:col>4</xdr:col>
      <xdr:colOff>400049</xdr:colOff>
      <xdr:row>50</xdr:row>
      <xdr:rowOff>38100</xdr:rowOff>
    </xdr:to>
    <xdr:sp macro="" textlink="">
      <xdr:nvSpPr>
        <xdr:cNvPr id="17" name="16 Rectángulo">
          <a:extLst>
            <a:ext uri="{FF2B5EF4-FFF2-40B4-BE49-F238E27FC236}">
              <a16:creationId xmlns:a16="http://schemas.microsoft.com/office/drawing/2014/main" id="{00000000-0008-0000-2100-000011000000}"/>
            </a:ext>
          </a:extLst>
        </xdr:cNvPr>
        <xdr:cNvSpPr/>
      </xdr:nvSpPr>
      <xdr:spPr>
        <a:xfrm>
          <a:off x="2428874" y="8972550"/>
          <a:ext cx="1019175" cy="4000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Mano de obra</a:t>
          </a:r>
        </a:p>
      </xdr:txBody>
    </xdr:sp>
    <xdr:clientData/>
  </xdr:twoCellAnchor>
  <xdr:twoCellAnchor>
    <xdr:from>
      <xdr:col>5</xdr:col>
      <xdr:colOff>1123950</xdr:colOff>
      <xdr:row>48</xdr:row>
      <xdr:rowOff>47625</xdr:rowOff>
    </xdr:from>
    <xdr:to>
      <xdr:col>6</xdr:col>
      <xdr:colOff>723900</xdr:colOff>
      <xdr:row>50</xdr:row>
      <xdr:rowOff>19050</xdr:rowOff>
    </xdr:to>
    <xdr:sp macro="" textlink="">
      <xdr:nvSpPr>
        <xdr:cNvPr id="18" name="17 Rectángulo">
          <a:extLst>
            <a:ext uri="{FF2B5EF4-FFF2-40B4-BE49-F238E27FC236}">
              <a16:creationId xmlns:a16="http://schemas.microsoft.com/office/drawing/2014/main" id="{00000000-0008-0000-2100-000012000000}"/>
            </a:ext>
          </a:extLst>
        </xdr:cNvPr>
        <xdr:cNvSpPr/>
      </xdr:nvSpPr>
      <xdr:spPr>
        <a:xfrm>
          <a:off x="4933950" y="9001125"/>
          <a:ext cx="914400" cy="3524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t>Maquina</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962024</xdr:colOff>
      <xdr:row>16</xdr:row>
      <xdr:rowOff>42862</xdr:rowOff>
    </xdr:from>
    <xdr:to>
      <xdr:col>5</xdr:col>
      <xdr:colOff>466724</xdr:colOff>
      <xdr:row>30</xdr:row>
      <xdr:rowOff>119062</xdr:rowOff>
    </xdr:to>
    <xdr:graphicFrame macro="">
      <xdr:nvGraphicFramePr>
        <xdr:cNvPr id="2" name="1 Gráfico">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314324</xdr:colOff>
      <xdr:row>16</xdr:row>
      <xdr:rowOff>90487</xdr:rowOff>
    </xdr:from>
    <xdr:to>
      <xdr:col>12</xdr:col>
      <xdr:colOff>676274</xdr:colOff>
      <xdr:row>30</xdr:row>
      <xdr:rowOff>166687</xdr:rowOff>
    </xdr:to>
    <xdr:graphicFrame macro="">
      <xdr:nvGraphicFramePr>
        <xdr:cNvPr id="3" name="2 Gráfico">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core%20i5/Downloads/FORMATOS%20DE%20EXCEL%20ING.%20INDUSTRIAL/planilla-de-excel-de-indicadores-de-producc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ecilia/Downloads/simulador-de-creditos-uva-en-exc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de Uso"/>
      <sheetName val="Productividad (2)"/>
      <sheetName val="Desempeño Líneas de producción"/>
    </sheetNames>
    <sheetDataSet>
      <sheetData sheetId="0"/>
      <sheetData sheetId="1"/>
      <sheetData sheetId="2">
        <row r="3">
          <cell r="B3" t="str">
            <v xml:space="preserve">Línea </v>
          </cell>
          <cell r="C3" t="str">
            <v>Objetivo</v>
          </cell>
          <cell r="D3" t="str">
            <v>Producidos</v>
          </cell>
          <cell r="E3" t="str">
            <v>Defectuosos</v>
          </cell>
          <cell r="F3" t="str">
            <v>Buenos</v>
          </cell>
        </row>
        <row r="4">
          <cell r="B4">
            <v>1</v>
          </cell>
          <cell r="C4">
            <v>1000</v>
          </cell>
          <cell r="D4">
            <v>854</v>
          </cell>
          <cell r="E4">
            <v>60</v>
          </cell>
          <cell r="F4">
            <v>794</v>
          </cell>
        </row>
        <row r="5">
          <cell r="B5">
            <v>2</v>
          </cell>
          <cell r="C5">
            <v>350</v>
          </cell>
          <cell r="D5">
            <v>120</v>
          </cell>
          <cell r="E5">
            <v>20</v>
          </cell>
          <cell r="F5">
            <v>100</v>
          </cell>
        </row>
        <row r="6">
          <cell r="B6">
            <v>3</v>
          </cell>
          <cell r="C6">
            <v>500</v>
          </cell>
          <cell r="D6">
            <v>499</v>
          </cell>
          <cell r="E6">
            <v>50</v>
          </cell>
          <cell r="F6">
            <v>449</v>
          </cell>
        </row>
        <row r="7">
          <cell r="B7">
            <v>4</v>
          </cell>
          <cell r="C7">
            <v>500</v>
          </cell>
          <cell r="D7">
            <v>100</v>
          </cell>
          <cell r="E7">
            <v>50</v>
          </cell>
          <cell r="F7">
            <v>50</v>
          </cell>
        </row>
        <row r="8">
          <cell r="B8">
            <v>5</v>
          </cell>
          <cell r="C8">
            <v>350</v>
          </cell>
          <cell r="D8">
            <v>120</v>
          </cell>
          <cell r="E8">
            <v>20</v>
          </cell>
          <cell r="F8">
            <v>100</v>
          </cell>
        </row>
        <row r="9">
          <cell r="B9">
            <v>6</v>
          </cell>
          <cell r="C9">
            <v>350</v>
          </cell>
          <cell r="D9">
            <v>120</v>
          </cell>
          <cell r="E9">
            <v>20</v>
          </cell>
          <cell r="F9">
            <v>100</v>
          </cell>
        </row>
        <row r="10">
          <cell r="B10">
            <v>7</v>
          </cell>
          <cell r="C10">
            <v>400</v>
          </cell>
          <cell r="D10">
            <v>400</v>
          </cell>
          <cell r="E10">
            <v>25</v>
          </cell>
          <cell r="F10">
            <v>375</v>
          </cell>
        </row>
        <row r="11">
          <cell r="B11">
            <v>0</v>
          </cell>
          <cell r="C11">
            <v>0</v>
          </cell>
          <cell r="D11">
            <v>0</v>
          </cell>
          <cell r="E11">
            <v>0</v>
          </cell>
          <cell r="F11" t="str">
            <v/>
          </cell>
        </row>
        <row r="12">
          <cell r="B12">
            <v>0</v>
          </cell>
          <cell r="C12">
            <v>0</v>
          </cell>
          <cell r="D12">
            <v>0</v>
          </cell>
          <cell r="E12">
            <v>0</v>
          </cell>
          <cell r="F12" t="str">
            <v/>
          </cell>
        </row>
        <row r="13">
          <cell r="B13">
            <v>0</v>
          </cell>
          <cell r="C13">
            <v>0</v>
          </cell>
          <cell r="D13">
            <v>0</v>
          </cell>
          <cell r="E13">
            <v>0</v>
          </cell>
          <cell r="F13" t="str">
            <v/>
          </cell>
        </row>
        <row r="14">
          <cell r="B14">
            <v>0</v>
          </cell>
          <cell r="C14">
            <v>0</v>
          </cell>
          <cell r="D14">
            <v>0</v>
          </cell>
          <cell r="E14">
            <v>0</v>
          </cell>
          <cell r="F14" t="str">
            <v/>
          </cell>
        </row>
        <row r="15">
          <cell r="B15">
            <v>0</v>
          </cell>
          <cell r="C15">
            <v>0</v>
          </cell>
          <cell r="D15">
            <v>0</v>
          </cell>
          <cell r="E15">
            <v>0</v>
          </cell>
          <cell r="F15" t="str">
            <v/>
          </cell>
        </row>
        <row r="16">
          <cell r="B16">
            <v>0</v>
          </cell>
          <cell r="C16">
            <v>0</v>
          </cell>
          <cell r="D16">
            <v>0</v>
          </cell>
          <cell r="E16">
            <v>0</v>
          </cell>
          <cell r="F16" t="str">
            <v/>
          </cell>
        </row>
        <row r="17">
          <cell r="B17">
            <v>0</v>
          </cell>
          <cell r="C17">
            <v>0</v>
          </cell>
          <cell r="D17">
            <v>0</v>
          </cell>
          <cell r="E17">
            <v>0</v>
          </cell>
          <cell r="F17" t="str">
            <v/>
          </cell>
        </row>
        <row r="18">
          <cell r="B18">
            <v>0</v>
          </cell>
          <cell r="C18">
            <v>0</v>
          </cell>
          <cell r="D18">
            <v>0</v>
          </cell>
          <cell r="E18">
            <v>0</v>
          </cell>
          <cell r="F18" t="str">
            <v/>
          </cell>
        </row>
        <row r="19">
          <cell r="B19">
            <v>0</v>
          </cell>
          <cell r="C19">
            <v>0</v>
          </cell>
          <cell r="D19">
            <v>0</v>
          </cell>
          <cell r="E19">
            <v>0</v>
          </cell>
          <cell r="F19" t="str">
            <v/>
          </cell>
        </row>
        <row r="20">
          <cell r="B20">
            <v>0</v>
          </cell>
          <cell r="C20">
            <v>0</v>
          </cell>
          <cell r="D20">
            <v>0</v>
          </cell>
          <cell r="E20">
            <v>0</v>
          </cell>
          <cell r="F20" t="str">
            <v/>
          </cell>
        </row>
        <row r="21">
          <cell r="B21">
            <v>0</v>
          </cell>
          <cell r="C21">
            <v>0</v>
          </cell>
          <cell r="D21">
            <v>0</v>
          </cell>
          <cell r="E21">
            <v>0</v>
          </cell>
          <cell r="F21" t="str">
            <v/>
          </cell>
        </row>
        <row r="22">
          <cell r="B22">
            <v>0</v>
          </cell>
          <cell r="C22">
            <v>0</v>
          </cell>
          <cell r="D22">
            <v>0</v>
          </cell>
          <cell r="E22">
            <v>0</v>
          </cell>
          <cell r="F22" t="str">
            <v/>
          </cell>
        </row>
        <row r="23">
          <cell r="B23">
            <v>0</v>
          </cell>
          <cell r="C23">
            <v>0</v>
          </cell>
          <cell r="D23">
            <v>0</v>
          </cell>
          <cell r="E23">
            <v>0</v>
          </cell>
          <cell r="F23" t="str">
            <v/>
          </cell>
        </row>
        <row r="24">
          <cell r="B24">
            <v>0</v>
          </cell>
          <cell r="C24">
            <v>0</v>
          </cell>
          <cell r="D24">
            <v>0</v>
          </cell>
          <cell r="E24">
            <v>0</v>
          </cell>
          <cell r="F24" t="str">
            <v/>
          </cell>
        </row>
        <row r="25">
          <cell r="B25">
            <v>0</v>
          </cell>
          <cell r="C25">
            <v>0</v>
          </cell>
          <cell r="D25">
            <v>0</v>
          </cell>
          <cell r="E25">
            <v>0</v>
          </cell>
          <cell r="F25" t="str">
            <v/>
          </cell>
        </row>
        <row r="26">
          <cell r="B26">
            <v>0</v>
          </cell>
          <cell r="C26">
            <v>0</v>
          </cell>
          <cell r="D26">
            <v>0</v>
          </cell>
          <cell r="E26">
            <v>0</v>
          </cell>
          <cell r="F26" t="str">
            <v/>
          </cell>
        </row>
        <row r="27">
          <cell r="F27" t="str">
            <v/>
          </cell>
        </row>
        <row r="28">
          <cell r="F28" t="str">
            <v/>
          </cell>
        </row>
        <row r="29">
          <cell r="F29" t="str">
            <v/>
          </cell>
        </row>
        <row r="30">
          <cell r="F30" t="str">
            <v/>
          </cell>
        </row>
        <row r="31">
          <cell r="F31" t="str">
            <v/>
          </cell>
        </row>
        <row r="32">
          <cell r="F32" t="st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lador cuota de prestamo"/>
      <sheetName val="Instrucciones de Uso"/>
      <sheetName val="Simulador UVA"/>
      <sheetName val="Simulador"/>
      <sheetName val="Simulador TASA FIJA"/>
      <sheetName val="Evolución cuota GrÁfico"/>
      <sheetName val="Aclaraciones del simulador"/>
      <sheetName val="Créditos UVA comentarios"/>
      <sheetName val="Hoja1"/>
    </sheetNames>
    <sheetDataSet>
      <sheetData sheetId="0"/>
      <sheetData sheetId="1"/>
      <sheetData sheetId="2">
        <row r="28">
          <cell r="A28">
            <v>1</v>
          </cell>
          <cell r="K28">
            <v>5623.1867994938202</v>
          </cell>
        </row>
        <row r="29">
          <cell r="A29">
            <v>2</v>
          </cell>
          <cell r="K29">
            <v>5810.626359476948</v>
          </cell>
        </row>
        <row r="30">
          <cell r="A30">
            <v>3</v>
          </cell>
          <cell r="K30">
            <v>6004.3139047928462</v>
          </cell>
        </row>
        <row r="31">
          <cell r="A31">
            <v>4</v>
          </cell>
          <cell r="K31">
            <v>6204.4577016192752</v>
          </cell>
        </row>
        <row r="32">
          <cell r="A32">
            <v>5</v>
          </cell>
          <cell r="K32">
            <v>6411.2729583399177</v>
          </cell>
        </row>
        <row r="33">
          <cell r="A33">
            <v>6</v>
          </cell>
          <cell r="K33">
            <v>6624.9820569512485</v>
          </cell>
        </row>
        <row r="34">
          <cell r="A34">
            <v>7</v>
          </cell>
          <cell r="K34">
            <v>6845.8147921829586</v>
          </cell>
        </row>
        <row r="35">
          <cell r="A35">
            <v>8</v>
          </cell>
          <cell r="K35">
            <v>7074.0086185890577</v>
          </cell>
        </row>
        <row r="36">
          <cell r="A36">
            <v>9</v>
          </cell>
          <cell r="K36">
            <v>7309.8089058753594</v>
          </cell>
        </row>
        <row r="37">
          <cell r="A37">
            <v>10</v>
          </cell>
          <cell r="K37">
            <v>7553.4692027378724</v>
          </cell>
        </row>
        <row r="38">
          <cell r="A38">
            <v>11</v>
          </cell>
          <cell r="K38">
            <v>7805.2515094958017</v>
          </cell>
        </row>
        <row r="39">
          <cell r="A39">
            <v>12</v>
          </cell>
          <cell r="K39">
            <v>8065.4265598123302</v>
          </cell>
        </row>
        <row r="40">
          <cell r="A40">
            <v>13</v>
          </cell>
          <cell r="K40">
            <v>8267.0622238076376</v>
          </cell>
        </row>
        <row r="41">
          <cell r="A41">
            <v>14</v>
          </cell>
          <cell r="K41">
            <v>8473.7387794028273</v>
          </cell>
        </row>
        <row r="42">
          <cell r="A42">
            <v>15</v>
          </cell>
          <cell r="K42">
            <v>8685.5822488878985</v>
          </cell>
        </row>
        <row r="43">
          <cell r="A43">
            <v>16</v>
          </cell>
          <cell r="K43">
            <v>8902.7218051100954</v>
          </cell>
        </row>
        <row r="44">
          <cell r="A44">
            <v>17</v>
          </cell>
          <cell r="K44">
            <v>9125.2898502378466</v>
          </cell>
        </row>
        <row r="45">
          <cell r="A45">
            <v>18</v>
          </cell>
          <cell r="K45">
            <v>9353.4220964937922</v>
          </cell>
        </row>
        <row r="46">
          <cell r="A46">
            <v>19</v>
          </cell>
          <cell r="K46">
            <v>9587.2576489061357</v>
          </cell>
        </row>
        <row r="47">
          <cell r="A47">
            <v>20</v>
          </cell>
          <cell r="K47">
            <v>9826.9390901287898</v>
          </cell>
        </row>
        <row r="48">
          <cell r="A48">
            <v>21</v>
          </cell>
          <cell r="K48">
            <v>10072.61256738201</v>
          </cell>
        </row>
        <row r="49">
          <cell r="A49">
            <v>22</v>
          </cell>
          <cell r="K49">
            <v>10324.427881566558</v>
          </cell>
        </row>
        <row r="50">
          <cell r="A50">
            <v>23</v>
          </cell>
          <cell r="K50">
            <v>10582.538578605723</v>
          </cell>
        </row>
        <row r="51">
          <cell r="A51">
            <v>24</v>
          </cell>
          <cell r="K51">
            <v>10847.102043070865</v>
          </cell>
        </row>
        <row r="52">
          <cell r="A52">
            <v>25</v>
          </cell>
          <cell r="K52">
            <v>11073.083335634841</v>
          </cell>
        </row>
        <row r="53">
          <cell r="A53">
            <v>26</v>
          </cell>
          <cell r="K53">
            <v>11303.772571793897</v>
          </cell>
        </row>
        <row r="54">
          <cell r="A54">
            <v>27</v>
          </cell>
          <cell r="K54">
            <v>11539.26783370627</v>
          </cell>
        </row>
        <row r="55">
          <cell r="A55">
            <v>28</v>
          </cell>
          <cell r="K55">
            <v>11779.669246908483</v>
          </cell>
        </row>
        <row r="56">
          <cell r="A56">
            <v>29</v>
          </cell>
          <cell r="K56">
            <v>12025.079022885742</v>
          </cell>
        </row>
        <row r="57">
          <cell r="A57">
            <v>30</v>
          </cell>
          <cell r="K57">
            <v>12275.601502529194</v>
          </cell>
        </row>
        <row r="58">
          <cell r="A58">
            <v>31</v>
          </cell>
          <cell r="K58">
            <v>12531.34320049855</v>
          </cell>
        </row>
        <row r="59">
          <cell r="A59">
            <v>32</v>
          </cell>
          <cell r="K59">
            <v>12792.412850508937</v>
          </cell>
        </row>
        <row r="60">
          <cell r="A60">
            <v>33</v>
          </cell>
          <cell r="K60">
            <v>13058.921451561206</v>
          </cell>
        </row>
        <row r="61">
          <cell r="A61">
            <v>34</v>
          </cell>
          <cell r="K61">
            <v>13330.982315135396</v>
          </cell>
        </row>
        <row r="62">
          <cell r="A62">
            <v>35</v>
          </cell>
          <cell r="K62">
            <v>13608.711113367382</v>
          </cell>
        </row>
        <row r="63">
          <cell r="A63">
            <v>36</v>
          </cell>
          <cell r="K63">
            <v>13892.225928229202</v>
          </cell>
        </row>
        <row r="64">
          <cell r="A64">
            <v>37</v>
          </cell>
          <cell r="K64">
            <v>14123.763027033021</v>
          </cell>
        </row>
        <row r="65">
          <cell r="A65">
            <v>38</v>
          </cell>
          <cell r="K65">
            <v>14359.159077483571</v>
          </cell>
        </row>
        <row r="66">
          <cell r="A66">
            <v>39</v>
          </cell>
          <cell r="K66">
            <v>14598.478395441631</v>
          </cell>
        </row>
        <row r="67">
          <cell r="A67">
            <v>40</v>
          </cell>
          <cell r="K67">
            <v>14841.786368698989</v>
          </cell>
        </row>
        <row r="68">
          <cell r="A68">
            <v>41</v>
          </cell>
          <cell r="K68">
            <v>15089.149474843973</v>
          </cell>
        </row>
        <row r="69">
          <cell r="A69">
            <v>42</v>
          </cell>
          <cell r="K69">
            <v>15340.635299424704</v>
          </cell>
        </row>
        <row r="70">
          <cell r="A70">
            <v>43</v>
          </cell>
          <cell r="K70">
            <v>15596.312554415115</v>
          </cell>
        </row>
        <row r="71">
          <cell r="A71">
            <v>44</v>
          </cell>
          <cell r="K71">
            <v>15856.251096988699</v>
          </cell>
        </row>
        <row r="72">
          <cell r="A72">
            <v>45</v>
          </cell>
          <cell r="K72">
            <v>16120.521948605177</v>
          </cell>
        </row>
        <row r="73">
          <cell r="A73">
            <v>46</v>
          </cell>
          <cell r="K73">
            <v>16389.197314415262</v>
          </cell>
        </row>
        <row r="74">
          <cell r="A74">
            <v>47</v>
          </cell>
          <cell r="K74">
            <v>16662.350602988849</v>
          </cell>
        </row>
        <row r="75">
          <cell r="A75">
            <v>48</v>
          </cell>
          <cell r="K75">
            <v>16940.056446371993</v>
          </cell>
        </row>
        <row r="76">
          <cell r="A76">
            <v>49</v>
          </cell>
          <cell r="K76">
            <v>17222.390720478194</v>
          </cell>
        </row>
        <row r="77">
          <cell r="A77">
            <v>50</v>
          </cell>
          <cell r="K77">
            <v>17509.430565819497</v>
          </cell>
        </row>
        <row r="78">
          <cell r="A78">
            <v>51</v>
          </cell>
          <cell r="K78">
            <v>17801.254408583154</v>
          </cell>
        </row>
        <row r="79">
          <cell r="A79">
            <v>52</v>
          </cell>
          <cell r="K79">
            <v>18097.941982059539</v>
          </cell>
        </row>
        <row r="80">
          <cell r="A80">
            <v>53</v>
          </cell>
          <cell r="K80">
            <v>18399.574348427195</v>
          </cell>
        </row>
        <row r="81">
          <cell r="A81">
            <v>54</v>
          </cell>
          <cell r="K81">
            <v>18706.233920900984</v>
          </cell>
        </row>
        <row r="82">
          <cell r="A82">
            <v>55</v>
          </cell>
          <cell r="K82">
            <v>19018.004486249331</v>
          </cell>
        </row>
        <row r="83">
          <cell r="A83">
            <v>56</v>
          </cell>
          <cell r="K83">
            <v>19334.971227686819</v>
          </cell>
        </row>
        <row r="84">
          <cell r="A84">
            <v>57</v>
          </cell>
          <cell r="K84">
            <v>19657.220748148266</v>
          </cell>
        </row>
        <row r="85">
          <cell r="A85">
            <v>58</v>
          </cell>
          <cell r="K85">
            <v>19984.841093950738</v>
          </cell>
        </row>
        <row r="86">
          <cell r="A86">
            <v>59</v>
          </cell>
          <cell r="K86">
            <v>20317.921778849915</v>
          </cell>
        </row>
        <row r="87">
          <cell r="A87">
            <v>60</v>
          </cell>
          <cell r="K87">
            <v>20656.553808497411</v>
          </cell>
        </row>
        <row r="88">
          <cell r="A88">
            <v>61</v>
          </cell>
          <cell r="K88">
            <v>21000.829705305699</v>
          </cell>
        </row>
        <row r="89">
          <cell r="A89">
            <v>62</v>
          </cell>
          <cell r="K89">
            <v>21350.84353372746</v>
          </cell>
        </row>
        <row r="90">
          <cell r="A90">
            <v>63</v>
          </cell>
          <cell r="K90">
            <v>21706.690925956249</v>
          </cell>
        </row>
        <row r="91">
          <cell r="A91">
            <v>64</v>
          </cell>
          <cell r="K91">
            <v>22068.46910805552</v>
          </cell>
        </row>
        <row r="92">
          <cell r="A92">
            <v>65</v>
          </cell>
          <cell r="K92">
            <v>22436.276926523111</v>
          </cell>
        </row>
        <row r="93">
          <cell r="A93">
            <v>66</v>
          </cell>
          <cell r="K93">
            <v>22810.214875298494</v>
          </cell>
        </row>
        <row r="94">
          <cell r="A94">
            <v>67</v>
          </cell>
          <cell r="K94">
            <v>23190.385123220138</v>
          </cell>
        </row>
        <row r="95">
          <cell r="A95">
            <v>68</v>
          </cell>
          <cell r="K95">
            <v>23576.891541940469</v>
          </cell>
        </row>
        <row r="96">
          <cell r="A96">
            <v>69</v>
          </cell>
          <cell r="K96">
            <v>23969.839734306141</v>
          </cell>
        </row>
        <row r="97">
          <cell r="A97">
            <v>70</v>
          </cell>
          <cell r="K97">
            <v>24369.337063211242</v>
          </cell>
        </row>
        <row r="98">
          <cell r="A98">
            <v>71</v>
          </cell>
          <cell r="K98">
            <v>24775.492680931431</v>
          </cell>
        </row>
        <row r="99">
          <cell r="A99">
            <v>72</v>
          </cell>
          <cell r="K99">
            <v>25188.417558946952</v>
          </cell>
        </row>
        <row r="100">
          <cell r="A100">
            <v>73</v>
          </cell>
          <cell r="K100">
            <v>25608.224518262734</v>
          </cell>
        </row>
        <row r="101">
          <cell r="A101">
            <v>74</v>
          </cell>
          <cell r="K101">
            <v>26035.028260233776</v>
          </cell>
        </row>
        <row r="102">
          <cell r="A102">
            <v>75</v>
          </cell>
          <cell r="K102">
            <v>26468.945397904339</v>
          </cell>
        </row>
        <row r="103">
          <cell r="A103">
            <v>76</v>
          </cell>
          <cell r="K103">
            <v>26910.094487869406</v>
          </cell>
        </row>
        <row r="104">
          <cell r="A104">
            <v>77</v>
          </cell>
          <cell r="K104">
            <v>27358.596062667231</v>
          </cell>
        </row>
        <row r="105">
          <cell r="A105">
            <v>78</v>
          </cell>
          <cell r="K105">
            <v>27814.572663711682</v>
          </cell>
        </row>
        <row r="106">
          <cell r="A106">
            <v>79</v>
          </cell>
          <cell r="K106">
            <v>28278.148874773542</v>
          </cell>
        </row>
        <row r="107">
          <cell r="A107">
            <v>80</v>
          </cell>
          <cell r="K107">
            <v>28749.451356019767</v>
          </cell>
        </row>
        <row r="108">
          <cell r="A108">
            <v>81</v>
          </cell>
          <cell r="K108">
            <v>29228.608878620093</v>
          </cell>
        </row>
        <row r="109">
          <cell r="A109">
            <v>82</v>
          </cell>
          <cell r="K109">
            <v>29715.752359930422</v>
          </cell>
        </row>
        <row r="110">
          <cell r="A110">
            <v>83</v>
          </cell>
          <cell r="K110">
            <v>30211.014899262595</v>
          </cell>
        </row>
        <row r="111">
          <cell r="A111">
            <v>84</v>
          </cell>
          <cell r="K111">
            <v>30714.531814250302</v>
          </cell>
        </row>
        <row r="112">
          <cell r="A112">
            <v>85</v>
          </cell>
          <cell r="K112">
            <v>31226.440677821138</v>
          </cell>
        </row>
        <row r="113">
          <cell r="A113">
            <v>86</v>
          </cell>
          <cell r="K113">
            <v>31746.881355784826</v>
          </cell>
        </row>
        <row r="114">
          <cell r="A114">
            <v>87</v>
          </cell>
          <cell r="K114">
            <v>32275.996045047905</v>
          </cell>
        </row>
        <row r="115">
          <cell r="A115">
            <v>88</v>
          </cell>
          <cell r="K115">
            <v>32813.92931246537</v>
          </cell>
        </row>
        <row r="116">
          <cell r="A116">
            <v>89</v>
          </cell>
          <cell r="K116">
            <v>33360.82813433979</v>
          </cell>
        </row>
        <row r="117">
          <cell r="A117">
            <v>90</v>
          </cell>
          <cell r="K117">
            <v>33916.841936578785</v>
          </cell>
        </row>
        <row r="118">
          <cell r="A118">
            <v>91</v>
          </cell>
          <cell r="K118">
            <v>34482.122635521759</v>
          </cell>
        </row>
        <row r="119">
          <cell r="A119">
            <v>92</v>
          </cell>
          <cell r="K119">
            <v>35056.82467944712</v>
          </cell>
        </row>
        <row r="120">
          <cell r="A120">
            <v>93</v>
          </cell>
          <cell r="K120">
            <v>35641.105090771242</v>
          </cell>
        </row>
        <row r="121">
          <cell r="A121">
            <v>94</v>
          </cell>
          <cell r="K121">
            <v>36235.123508950754</v>
          </cell>
        </row>
        <row r="122">
          <cell r="A122">
            <v>95</v>
          </cell>
          <cell r="K122">
            <v>36839.042234099928</v>
          </cell>
        </row>
        <row r="123">
          <cell r="A123">
            <v>96</v>
          </cell>
          <cell r="K123">
            <v>37453.026271334929</v>
          </cell>
        </row>
        <row r="124">
          <cell r="A124">
            <v>97</v>
          </cell>
          <cell r="K124">
            <v>38077.243375857179</v>
          </cell>
        </row>
        <row r="125">
          <cell r="A125">
            <v>98</v>
          </cell>
          <cell r="K125">
            <v>38711.86409878813</v>
          </cell>
        </row>
        <row r="126">
          <cell r="A126">
            <v>99</v>
          </cell>
          <cell r="K126">
            <v>39357.061833767933</v>
          </cell>
        </row>
        <row r="127">
          <cell r="A127">
            <v>100</v>
          </cell>
          <cell r="K127">
            <v>40013.012864330725</v>
          </cell>
        </row>
        <row r="128">
          <cell r="A128">
            <v>101</v>
          </cell>
          <cell r="K128">
            <v>40679.896412069567</v>
          </cell>
        </row>
        <row r="129">
          <cell r="A129">
            <v>102</v>
          </cell>
          <cell r="K129">
            <v>41357.894685604064</v>
          </cell>
        </row>
        <row r="130">
          <cell r="A130">
            <v>103</v>
          </cell>
          <cell r="K130">
            <v>42047.19293036413</v>
          </cell>
        </row>
        <row r="131">
          <cell r="A131">
            <v>104</v>
          </cell>
          <cell r="K131">
            <v>42747.979479203525</v>
          </cell>
        </row>
        <row r="132">
          <cell r="A132">
            <v>105</v>
          </cell>
          <cell r="K132">
            <v>43460.445803856914</v>
          </cell>
        </row>
        <row r="133">
          <cell r="A133">
            <v>106</v>
          </cell>
          <cell r="K133">
            <v>44184.78656725453</v>
          </cell>
        </row>
        <row r="134">
          <cell r="A134">
            <v>107</v>
          </cell>
          <cell r="K134">
            <v>44921.199676708769</v>
          </cell>
        </row>
        <row r="135">
          <cell r="A135">
            <v>108</v>
          </cell>
          <cell r="K135">
            <v>45669.886337987242</v>
          </cell>
        </row>
        <row r="136">
          <cell r="A136">
            <v>109</v>
          </cell>
          <cell r="K136">
            <v>46431.051110287037</v>
          </cell>
        </row>
        <row r="137">
          <cell r="A137">
            <v>110</v>
          </cell>
          <cell r="K137">
            <v>47204.901962125143</v>
          </cell>
        </row>
        <row r="138">
          <cell r="A138">
            <v>111</v>
          </cell>
          <cell r="K138">
            <v>47991.650328160562</v>
          </cell>
        </row>
        <row r="139">
          <cell r="A139">
            <v>112</v>
          </cell>
          <cell r="K139">
            <v>48791.511166963232</v>
          </cell>
        </row>
        <row r="140">
          <cell r="A140">
            <v>113</v>
          </cell>
          <cell r="K140">
            <v>49604.703019745946</v>
          </cell>
        </row>
        <row r="141">
          <cell r="A141">
            <v>114</v>
          </cell>
          <cell r="K141">
            <v>50431.44807007505</v>
          </cell>
        </row>
        <row r="142">
          <cell r="A142">
            <v>115</v>
          </cell>
          <cell r="K142">
            <v>51271.972204576297</v>
          </cell>
        </row>
        <row r="143">
          <cell r="A143">
            <v>116</v>
          </cell>
          <cell r="K143">
            <v>52126.505074652567</v>
          </cell>
        </row>
        <row r="144">
          <cell r="A144">
            <v>117</v>
          </cell>
          <cell r="K144">
            <v>52995.280159230104</v>
          </cell>
        </row>
        <row r="145">
          <cell r="A145">
            <v>118</v>
          </cell>
          <cell r="K145">
            <v>53878.534828550597</v>
          </cell>
        </row>
        <row r="146">
          <cell r="A146">
            <v>119</v>
          </cell>
          <cell r="K146">
            <v>54776.510409026443</v>
          </cell>
        </row>
        <row r="147">
          <cell r="A147">
            <v>120</v>
          </cell>
          <cell r="K147">
            <v>55689.45224917688</v>
          </cell>
        </row>
        <row r="148">
          <cell r="A148">
            <v>121</v>
          </cell>
          <cell r="K148">
            <v>56617.609786663161</v>
          </cell>
        </row>
        <row r="149">
          <cell r="A149">
            <v>122</v>
          </cell>
          <cell r="K149">
            <v>57561.236616440874</v>
          </cell>
        </row>
        <row r="150">
          <cell r="A150">
            <v>123</v>
          </cell>
          <cell r="K150">
            <v>58520.590560048222</v>
          </cell>
        </row>
        <row r="151">
          <cell r="A151">
            <v>124</v>
          </cell>
          <cell r="K151">
            <v>59495.933736049024</v>
          </cell>
        </row>
        <row r="152">
          <cell r="A152">
            <v>125</v>
          </cell>
          <cell r="K152">
            <v>60487.532631649832</v>
          </cell>
        </row>
        <row r="153">
          <cell r="A153">
            <v>126</v>
          </cell>
          <cell r="K153">
            <v>61495.65817551066</v>
          </cell>
        </row>
        <row r="154">
          <cell r="A154">
            <v>127</v>
          </cell>
          <cell r="K154">
            <v>62520.585811769161</v>
          </cell>
        </row>
        <row r="155">
          <cell r="A155">
            <v>128</v>
          </cell>
          <cell r="K155">
            <v>63562.595575298648</v>
          </cell>
        </row>
        <row r="156">
          <cell r="A156">
            <v>129</v>
          </cell>
          <cell r="K156">
            <v>64621.972168220294</v>
          </cell>
        </row>
        <row r="157">
          <cell r="A157">
            <v>130</v>
          </cell>
          <cell r="K157">
            <v>65699.005037690629</v>
          </cell>
        </row>
        <row r="158">
          <cell r="A158">
            <v>131</v>
          </cell>
          <cell r="K158">
            <v>66793.988454985476</v>
          </cell>
        </row>
        <row r="159">
          <cell r="A159">
            <v>132</v>
          </cell>
          <cell r="K159">
            <v>67907.221595901894</v>
          </cell>
        </row>
        <row r="160">
          <cell r="A160">
            <v>133</v>
          </cell>
          <cell r="K160">
            <v>69039.00862250026</v>
          </cell>
        </row>
        <row r="161">
          <cell r="A161">
            <v>134</v>
          </cell>
          <cell r="K161">
            <v>70189.658766208595</v>
          </cell>
        </row>
        <row r="162">
          <cell r="A162">
            <v>135</v>
          </cell>
          <cell r="K162">
            <v>71359.486412312064</v>
          </cell>
        </row>
        <row r="163">
          <cell r="A163">
            <v>136</v>
          </cell>
          <cell r="K163">
            <v>72548.811185850602</v>
          </cell>
        </row>
        <row r="164">
          <cell r="A164">
            <v>137</v>
          </cell>
          <cell r="K164">
            <v>73757.958038948113</v>
          </cell>
        </row>
        <row r="165">
          <cell r="A165">
            <v>138</v>
          </cell>
          <cell r="K165">
            <v>74987.257339597243</v>
          </cell>
        </row>
        <row r="166">
          <cell r="A166">
            <v>139</v>
          </cell>
          <cell r="K166">
            <v>76237.044961923864</v>
          </cell>
        </row>
        <row r="167">
          <cell r="A167">
            <v>140</v>
          </cell>
          <cell r="K167">
            <v>77507.662377955916</v>
          </cell>
        </row>
        <row r="168">
          <cell r="A168">
            <v>141</v>
          </cell>
          <cell r="K168">
            <v>78799.456750921861</v>
          </cell>
        </row>
        <row r="169">
          <cell r="A169">
            <v>142</v>
          </cell>
          <cell r="K169">
            <v>80112.781030103884</v>
          </cell>
        </row>
        <row r="170">
          <cell r="A170">
            <v>143</v>
          </cell>
          <cell r="K170">
            <v>81447.994047272266</v>
          </cell>
        </row>
        <row r="171">
          <cell r="A171">
            <v>144</v>
          </cell>
          <cell r="K171">
            <v>82805.460614726791</v>
          </cell>
        </row>
        <row r="172">
          <cell r="A172">
            <v>145</v>
          </cell>
          <cell r="K172">
            <v>84185.551624972242</v>
          </cell>
        </row>
        <row r="173">
          <cell r="A173">
            <v>146</v>
          </cell>
          <cell r="K173">
            <v>85588.644152055116</v>
          </cell>
        </row>
        <row r="174">
          <cell r="A174">
            <v>147</v>
          </cell>
          <cell r="K174">
            <v>87015.121554589365</v>
          </cell>
        </row>
        <row r="175">
          <cell r="A175">
            <v>148</v>
          </cell>
          <cell r="K175">
            <v>88465.373580499188</v>
          </cell>
        </row>
        <row r="176">
          <cell r="A176">
            <v>149</v>
          </cell>
          <cell r="K176">
            <v>89939.796473507507</v>
          </cell>
        </row>
        <row r="177">
          <cell r="A177">
            <v>150</v>
          </cell>
          <cell r="K177">
            <v>91438.793081399286</v>
          </cell>
        </row>
        <row r="178">
          <cell r="A178">
            <v>151</v>
          </cell>
          <cell r="K178">
            <v>92962.772966089266</v>
          </cell>
        </row>
        <row r="179">
          <cell r="A179">
            <v>152</v>
          </cell>
          <cell r="K179">
            <v>94512.152515524082</v>
          </cell>
        </row>
        <row r="180">
          <cell r="A180">
            <v>153</v>
          </cell>
          <cell r="K180">
            <v>96087.355057449488</v>
          </cell>
        </row>
        <row r="181">
          <cell r="A181">
            <v>154</v>
          </cell>
          <cell r="K181">
            <v>97688.810975073648</v>
          </cell>
        </row>
        <row r="182">
          <cell r="A182">
            <v>155</v>
          </cell>
          <cell r="K182">
            <v>99316.957824658195</v>
          </cell>
        </row>
        <row r="183">
          <cell r="A183">
            <v>156</v>
          </cell>
          <cell r="K183">
            <v>100972.24045506916</v>
          </cell>
        </row>
        <row r="184">
          <cell r="A184">
            <v>157</v>
          </cell>
          <cell r="K184">
            <v>102655.11112932031</v>
          </cell>
        </row>
        <row r="185">
          <cell r="A185">
            <v>158</v>
          </cell>
          <cell r="K185">
            <v>104366.02964814231</v>
          </cell>
        </row>
        <row r="186">
          <cell r="A186">
            <v>159</v>
          </cell>
          <cell r="K186">
            <v>106105.46347561134</v>
          </cell>
        </row>
        <row r="187">
          <cell r="A187">
            <v>160</v>
          </cell>
          <cell r="K187">
            <v>107873.88786687152</v>
          </cell>
        </row>
        <row r="188">
          <cell r="A188">
            <v>161</v>
          </cell>
          <cell r="K188">
            <v>109671.78599798604</v>
          </cell>
        </row>
        <row r="189">
          <cell r="A189">
            <v>162</v>
          </cell>
          <cell r="K189">
            <v>111499.64909795245</v>
          </cell>
        </row>
        <row r="190">
          <cell r="A190">
            <v>163</v>
          </cell>
          <cell r="K190">
            <v>113357.97658291832</v>
          </cell>
        </row>
        <row r="191">
          <cell r="A191">
            <v>164</v>
          </cell>
          <cell r="K191">
            <v>115247.27619263361</v>
          </cell>
        </row>
        <row r="192">
          <cell r="A192">
            <v>165</v>
          </cell>
          <cell r="K192">
            <v>117168.0641291775</v>
          </cell>
        </row>
        <row r="193">
          <cell r="A193">
            <v>166</v>
          </cell>
          <cell r="K193">
            <v>119120.86519799712</v>
          </cell>
        </row>
        <row r="194">
          <cell r="A194">
            <v>167</v>
          </cell>
          <cell r="K194">
            <v>121106.21295129706</v>
          </cell>
        </row>
        <row r="195">
          <cell r="A195">
            <v>168</v>
          </cell>
          <cell r="K195">
            <v>123124.64983381868</v>
          </cell>
        </row>
        <row r="196">
          <cell r="A196">
            <v>169</v>
          </cell>
          <cell r="K196">
            <v>125176.72733104898</v>
          </cell>
        </row>
        <row r="197">
          <cell r="A197">
            <v>170</v>
          </cell>
          <cell r="K197">
            <v>127263.0061198998</v>
          </cell>
        </row>
        <row r="198">
          <cell r="A198">
            <v>171</v>
          </cell>
          <cell r="K198">
            <v>129384.05622189812</v>
          </cell>
        </row>
        <row r="199">
          <cell r="A199">
            <v>172</v>
          </cell>
          <cell r="K199">
            <v>131540.45715892976</v>
          </cell>
        </row>
        <row r="200">
          <cell r="A200">
            <v>173</v>
          </cell>
          <cell r="K200">
            <v>133732.79811157857</v>
          </cell>
        </row>
        <row r="201">
          <cell r="A201">
            <v>174</v>
          </cell>
          <cell r="K201">
            <v>135961.67808010487</v>
          </cell>
        </row>
        <row r="202">
          <cell r="A202">
            <v>175</v>
          </cell>
          <cell r="K202">
            <v>138227.7060481066</v>
          </cell>
        </row>
        <row r="203">
          <cell r="A203">
            <v>176</v>
          </cell>
          <cell r="K203">
            <v>140531.50114890837</v>
          </cell>
        </row>
        <row r="204">
          <cell r="A204">
            <v>177</v>
          </cell>
          <cell r="K204">
            <v>142873.69283472351</v>
          </cell>
        </row>
        <row r="205">
          <cell r="A205">
            <v>178</v>
          </cell>
          <cell r="K205">
            <v>145254.92104863556</v>
          </cell>
        </row>
        <row r="206">
          <cell r="A206">
            <v>179</v>
          </cell>
          <cell r="K206">
            <v>147675.83639944615</v>
          </cell>
        </row>
        <row r="207">
          <cell r="A207">
            <v>180</v>
          </cell>
          <cell r="K207">
            <v>150137.1003394369</v>
          </cell>
        </row>
        <row r="208">
          <cell r="A208">
            <v>181</v>
          </cell>
          <cell r="K208">
            <v>152639.38534509417</v>
          </cell>
        </row>
        <row r="209">
          <cell r="A209">
            <v>182</v>
          </cell>
          <cell r="K209">
            <v>155183.3751008457</v>
          </cell>
        </row>
        <row r="210">
          <cell r="A210">
            <v>183</v>
          </cell>
          <cell r="K210">
            <v>157769.76468585979</v>
          </cell>
        </row>
        <row r="211">
          <cell r="A211">
            <v>184</v>
          </cell>
          <cell r="K211">
            <v>160399.26076395746</v>
          </cell>
        </row>
        <row r="212">
          <cell r="A212">
            <v>185</v>
          </cell>
          <cell r="K212">
            <v>163072.58177669006</v>
          </cell>
        </row>
        <row r="213">
          <cell r="A213">
            <v>186</v>
          </cell>
          <cell r="K213">
            <v>165790.45813963492</v>
          </cell>
        </row>
        <row r="214">
          <cell r="A214">
            <v>187</v>
          </cell>
          <cell r="K214">
            <v>168553.63244196214</v>
          </cell>
        </row>
        <row r="215">
          <cell r="A215">
            <v>188</v>
          </cell>
          <cell r="K215">
            <v>171362.85964932817</v>
          </cell>
        </row>
        <row r="216">
          <cell r="A216">
            <v>189</v>
          </cell>
          <cell r="K216">
            <v>174218.9073101503</v>
          </cell>
        </row>
        <row r="217">
          <cell r="A217">
            <v>190</v>
          </cell>
          <cell r="K217">
            <v>177122.55576531947</v>
          </cell>
        </row>
        <row r="218">
          <cell r="A218">
            <v>191</v>
          </cell>
          <cell r="K218">
            <v>180074.59836140811</v>
          </cell>
        </row>
        <row r="219">
          <cell r="A219">
            <v>192</v>
          </cell>
          <cell r="K219">
            <v>183075.84166743155</v>
          </cell>
        </row>
        <row r="220">
          <cell r="A220">
            <v>193</v>
          </cell>
          <cell r="K220">
            <v>186127.1056952221</v>
          </cell>
        </row>
        <row r="221">
          <cell r="A221">
            <v>194</v>
          </cell>
          <cell r="K221">
            <v>189229.22412347575</v>
          </cell>
        </row>
        <row r="222">
          <cell r="A222">
            <v>195</v>
          </cell>
          <cell r="K222">
            <v>192383.04452553371</v>
          </cell>
        </row>
        <row r="223">
          <cell r="A223">
            <v>196</v>
          </cell>
          <cell r="K223">
            <v>195589.42860095925</v>
          </cell>
        </row>
        <row r="224">
          <cell r="A224">
            <v>197</v>
          </cell>
          <cell r="K224">
            <v>198849.25241097523</v>
          </cell>
        </row>
        <row r="225">
          <cell r="A225">
            <v>198</v>
          </cell>
          <cell r="K225">
            <v>202163.4066178248</v>
          </cell>
        </row>
        <row r="226">
          <cell r="A226">
            <v>199</v>
          </cell>
          <cell r="K226">
            <v>205532.79672812187</v>
          </cell>
        </row>
        <row r="227">
          <cell r="A227">
            <v>200</v>
          </cell>
          <cell r="K227">
            <v>208958.34334025724</v>
          </cell>
        </row>
        <row r="228">
          <cell r="A228">
            <v>201</v>
          </cell>
          <cell r="K228">
            <v>212440.98239592821</v>
          </cell>
        </row>
        <row r="229">
          <cell r="A229">
            <v>202</v>
          </cell>
          <cell r="K229">
            <v>215981.66543586031</v>
          </cell>
        </row>
        <row r="230">
          <cell r="A230">
            <v>203</v>
          </cell>
          <cell r="K230">
            <v>219581.35985979129</v>
          </cell>
        </row>
        <row r="231">
          <cell r="A231">
            <v>204</v>
          </cell>
          <cell r="K231">
            <v>223241.0491907878</v>
          </cell>
        </row>
        <row r="232">
          <cell r="A232">
            <v>205</v>
          </cell>
          <cell r="K232">
            <v>226961.73334396756</v>
          </cell>
        </row>
        <row r="233">
          <cell r="A233">
            <v>206</v>
          </cell>
          <cell r="K233">
            <v>230744.42889970035</v>
          </cell>
        </row>
        <row r="234">
          <cell r="A234">
            <v>207</v>
          </cell>
          <cell r="K234">
            <v>234590.16938136201</v>
          </cell>
        </row>
        <row r="235">
          <cell r="A235">
            <v>208</v>
          </cell>
          <cell r="K235">
            <v>238500.00553771801</v>
          </cell>
        </row>
        <row r="236">
          <cell r="A236">
            <v>209</v>
          </cell>
          <cell r="K236">
            <v>242475.0056300133</v>
          </cell>
        </row>
        <row r="237">
          <cell r="A237">
            <v>210</v>
          </cell>
          <cell r="K237">
            <v>246516.25572384684</v>
          </cell>
        </row>
        <row r="238">
          <cell r="A238">
            <v>211</v>
          </cell>
          <cell r="K238">
            <v>250624.85998591091</v>
          </cell>
        </row>
        <row r="239">
          <cell r="A239">
            <v>212</v>
          </cell>
          <cell r="K239">
            <v>254801.94098567608</v>
          </cell>
        </row>
        <row r="240">
          <cell r="A240">
            <v>213</v>
          </cell>
          <cell r="K240">
            <v>259048.64000210399</v>
          </cell>
        </row>
        <row r="241">
          <cell r="A241">
            <v>214</v>
          </cell>
          <cell r="K241">
            <v>263366.11733547237</v>
          </cell>
        </row>
        <row r="242">
          <cell r="A242">
            <v>215</v>
          </cell>
          <cell r="K242">
            <v>267755.55262439692</v>
          </cell>
        </row>
        <row r="243">
          <cell r="A243">
            <v>216</v>
          </cell>
          <cell r="K243">
            <v>272218.14516813686</v>
          </cell>
        </row>
        <row r="244">
          <cell r="A244">
            <v>217</v>
          </cell>
          <cell r="K244">
            <v>276755.11425427248</v>
          </cell>
        </row>
        <row r="245">
          <cell r="A245">
            <v>218</v>
          </cell>
          <cell r="K245">
            <v>281367.6994918437</v>
          </cell>
        </row>
        <row r="246">
          <cell r="A246">
            <v>219</v>
          </cell>
          <cell r="K246">
            <v>286057.16115004104</v>
          </cell>
        </row>
        <row r="247">
          <cell r="A247">
            <v>220</v>
          </cell>
          <cell r="K247">
            <v>290824.78050254169</v>
          </cell>
        </row>
        <row r="248">
          <cell r="A248">
            <v>221</v>
          </cell>
          <cell r="K248">
            <v>295671.86017758405</v>
          </cell>
        </row>
        <row r="249">
          <cell r="A249">
            <v>222</v>
          </cell>
          <cell r="K249">
            <v>300599.72451387712</v>
          </cell>
        </row>
        <row r="250">
          <cell r="A250">
            <v>223</v>
          </cell>
          <cell r="K250">
            <v>305609.7199224417</v>
          </cell>
        </row>
        <row r="251">
          <cell r="A251">
            <v>224</v>
          </cell>
          <cell r="K251">
            <v>310703.21525448235</v>
          </cell>
        </row>
        <row r="252">
          <cell r="A252">
            <v>225</v>
          </cell>
          <cell r="K252">
            <v>315881.60217539041</v>
          </cell>
        </row>
        <row r="253">
          <cell r="A253">
            <v>226</v>
          </cell>
          <cell r="K253">
            <v>321146.29554498021</v>
          </cell>
        </row>
        <row r="254">
          <cell r="A254">
            <v>227</v>
          </cell>
          <cell r="K254">
            <v>326498.73380406317</v>
          </cell>
        </row>
        <row r="255">
          <cell r="A255">
            <v>228</v>
          </cell>
          <cell r="K255">
            <v>331940.37936746422</v>
          </cell>
        </row>
        <row r="256">
          <cell r="A256">
            <v>229</v>
          </cell>
          <cell r="K256">
            <v>337472.71902358858</v>
          </cell>
        </row>
        <row r="257">
          <cell r="A257">
            <v>230</v>
          </cell>
          <cell r="K257">
            <v>343097.26434064837</v>
          </cell>
        </row>
        <row r="258">
          <cell r="A258">
            <v>231</v>
          </cell>
          <cell r="K258">
            <v>348815.55207965919</v>
          </cell>
        </row>
        <row r="259">
          <cell r="A259">
            <v>232</v>
          </cell>
          <cell r="K259">
            <v>354629.14461432013</v>
          </cell>
        </row>
        <row r="260">
          <cell r="A260">
            <v>233</v>
          </cell>
          <cell r="K260">
            <v>360539.63035789214</v>
          </cell>
        </row>
        <row r="261">
          <cell r="A261">
            <v>234</v>
          </cell>
          <cell r="K261">
            <v>366548.62419719034</v>
          </cell>
        </row>
        <row r="262">
          <cell r="A262">
            <v>235</v>
          </cell>
          <cell r="K262">
            <v>372657.76793381013</v>
          </cell>
        </row>
        <row r="263">
          <cell r="A263">
            <v>236</v>
          </cell>
          <cell r="K263">
            <v>378868.7307327069</v>
          </cell>
        </row>
        <row r="264">
          <cell r="A264">
            <v>237</v>
          </cell>
          <cell r="K264">
            <v>385183.20957825199</v>
          </cell>
        </row>
        <row r="265">
          <cell r="A265">
            <v>238</v>
          </cell>
          <cell r="K265">
            <v>391602.9297378895</v>
          </cell>
        </row>
        <row r="266">
          <cell r="A266">
            <v>239</v>
          </cell>
          <cell r="K266">
            <v>398129.64523352095</v>
          </cell>
        </row>
        <row r="267">
          <cell r="A267">
            <v>240</v>
          </cell>
          <cell r="K267">
            <v>404765.1393207463</v>
          </cell>
        </row>
        <row r="268">
          <cell r="A268">
            <v>241</v>
          </cell>
          <cell r="K268">
            <v>411511.22497609205</v>
          </cell>
        </row>
        <row r="269">
          <cell r="A269">
            <v>242</v>
          </cell>
          <cell r="K269">
            <v>418369.7453923602</v>
          </cell>
        </row>
        <row r="270">
          <cell r="A270">
            <v>243</v>
          </cell>
          <cell r="K270">
            <v>425342.57448223286</v>
          </cell>
        </row>
        <row r="271">
          <cell r="A271">
            <v>244</v>
          </cell>
          <cell r="K271">
            <v>432431.61739027005</v>
          </cell>
        </row>
        <row r="272">
          <cell r="A272">
            <v>245</v>
          </cell>
          <cell r="K272">
            <v>439638.81101344124</v>
          </cell>
        </row>
        <row r="273">
          <cell r="A273">
            <v>246</v>
          </cell>
          <cell r="K273">
            <v>446966.12453033187</v>
          </cell>
        </row>
        <row r="274">
          <cell r="A274">
            <v>247</v>
          </cell>
          <cell r="K274">
            <v>454415.55993917066</v>
          </cell>
        </row>
        <row r="275">
          <cell r="A275">
            <v>248</v>
          </cell>
          <cell r="K275">
            <v>461989.15260482352</v>
          </cell>
        </row>
        <row r="276">
          <cell r="A276">
            <v>249</v>
          </cell>
          <cell r="K276">
            <v>469688.9718149039</v>
          </cell>
        </row>
        <row r="277">
          <cell r="A277">
            <v>250</v>
          </cell>
          <cell r="K277">
            <v>477517.12134515221</v>
          </cell>
        </row>
        <row r="278">
          <cell r="A278">
            <v>251</v>
          </cell>
          <cell r="K278">
            <v>485475.74003423809</v>
          </cell>
        </row>
        <row r="279">
          <cell r="A279">
            <v>252</v>
          </cell>
          <cell r="K279">
            <v>493567.00236814201</v>
          </cell>
        </row>
        <row r="280">
          <cell r="A280">
            <v>253</v>
          </cell>
          <cell r="K280">
            <v>501793.11907427764</v>
          </cell>
        </row>
        <row r="281">
          <cell r="A281">
            <v>254</v>
          </cell>
          <cell r="K281">
            <v>510156.33772551559</v>
          </cell>
        </row>
        <row r="282">
          <cell r="A282">
            <v>255</v>
          </cell>
          <cell r="K282">
            <v>518658.94335427415</v>
          </cell>
        </row>
        <row r="283">
          <cell r="A283">
            <v>256</v>
          </cell>
          <cell r="K283">
            <v>527303.25907684537</v>
          </cell>
        </row>
        <row r="284">
          <cell r="A284">
            <v>257</v>
          </cell>
          <cell r="K284">
            <v>536091.6467281261</v>
          </cell>
        </row>
        <row r="285">
          <cell r="A285">
            <v>258</v>
          </cell>
          <cell r="K285">
            <v>545026.50750692817</v>
          </cell>
        </row>
        <row r="286">
          <cell r="A286">
            <v>259</v>
          </cell>
          <cell r="K286">
            <v>554110.28263204359</v>
          </cell>
        </row>
        <row r="287">
          <cell r="A287">
            <v>260</v>
          </cell>
          <cell r="K287">
            <v>563345.45400924433</v>
          </cell>
        </row>
        <row r="288">
          <cell r="A288">
            <v>261</v>
          </cell>
          <cell r="K288">
            <v>572734.54490939842</v>
          </cell>
        </row>
        <row r="289">
          <cell r="A289">
            <v>262</v>
          </cell>
          <cell r="K289">
            <v>582280.12065788836</v>
          </cell>
        </row>
        <row r="290">
          <cell r="A290">
            <v>263</v>
          </cell>
          <cell r="K290">
            <v>591984.78933551977</v>
          </cell>
        </row>
        <row r="291">
          <cell r="A291">
            <v>264</v>
          </cell>
          <cell r="K291">
            <v>601851.2024911117</v>
          </cell>
        </row>
        <row r="292">
          <cell r="A292">
            <v>265</v>
          </cell>
          <cell r="K292">
            <v>611882.05586596357</v>
          </cell>
        </row>
        <row r="293">
          <cell r="A293">
            <v>266</v>
          </cell>
          <cell r="K293">
            <v>622080.0901303963</v>
          </cell>
        </row>
        <row r="294">
          <cell r="A294">
            <v>267</v>
          </cell>
          <cell r="K294">
            <v>632448.09163256944</v>
          </cell>
        </row>
        <row r="295">
          <cell r="A295">
            <v>268</v>
          </cell>
          <cell r="K295">
            <v>642988.89315977902</v>
          </cell>
        </row>
        <row r="296">
          <cell r="A296">
            <v>269</v>
          </cell>
          <cell r="K296">
            <v>653705.37471244205</v>
          </cell>
        </row>
        <row r="297">
          <cell r="A297">
            <v>270</v>
          </cell>
          <cell r="K297">
            <v>664600.46429098269</v>
          </cell>
        </row>
        <row r="298">
          <cell r="A298">
            <v>271</v>
          </cell>
          <cell r="K298">
            <v>675677.13869583234</v>
          </cell>
        </row>
        <row r="299">
          <cell r="A299">
            <v>272</v>
          </cell>
          <cell r="K299">
            <v>686938.42434076278</v>
          </cell>
        </row>
        <row r="300">
          <cell r="A300">
            <v>273</v>
          </cell>
          <cell r="K300">
            <v>698387.39807977551</v>
          </cell>
        </row>
        <row r="301">
          <cell r="A301">
            <v>274</v>
          </cell>
          <cell r="K301">
            <v>710027.18804777169</v>
          </cell>
        </row>
        <row r="302">
          <cell r="A302">
            <v>275</v>
          </cell>
          <cell r="K302">
            <v>721860.97451523459</v>
          </cell>
        </row>
        <row r="303">
          <cell r="A303">
            <v>276</v>
          </cell>
          <cell r="K303">
            <v>733891.99075715512</v>
          </cell>
        </row>
        <row r="304">
          <cell r="A304">
            <v>277</v>
          </cell>
          <cell r="K304">
            <v>746123.52393644094</v>
          </cell>
        </row>
        <row r="305">
          <cell r="A305">
            <v>278</v>
          </cell>
          <cell r="K305">
            <v>758558.91600204818</v>
          </cell>
        </row>
        <row r="306">
          <cell r="A306">
            <v>279</v>
          </cell>
          <cell r="K306">
            <v>771201.56460208225</v>
          </cell>
        </row>
        <row r="307">
          <cell r="A307">
            <v>280</v>
          </cell>
          <cell r="K307">
            <v>784054.92401211686</v>
          </cell>
        </row>
        <row r="308">
          <cell r="A308">
            <v>281</v>
          </cell>
          <cell r="K308">
            <v>797122.50607898552</v>
          </cell>
        </row>
        <row r="309">
          <cell r="A309">
            <v>282</v>
          </cell>
          <cell r="K309">
            <v>810407.88118030189</v>
          </cell>
        </row>
        <row r="310">
          <cell r="A310">
            <v>283</v>
          </cell>
          <cell r="K310">
            <v>823914.67919997347</v>
          </cell>
        </row>
        <row r="311">
          <cell r="A311">
            <v>284</v>
          </cell>
          <cell r="K311">
            <v>837646.59051997308</v>
          </cell>
        </row>
        <row r="312">
          <cell r="A312">
            <v>285</v>
          </cell>
          <cell r="K312">
            <v>851607.36702863919</v>
          </cell>
        </row>
        <row r="313">
          <cell r="A313">
            <v>286</v>
          </cell>
          <cell r="K313">
            <v>865800.82314578316</v>
          </cell>
        </row>
        <row r="314">
          <cell r="A314">
            <v>287</v>
          </cell>
          <cell r="K314">
            <v>880230.83686487959</v>
          </cell>
        </row>
        <row r="315">
          <cell r="A315">
            <v>288</v>
          </cell>
          <cell r="K315">
            <v>894901.35081262747</v>
          </cell>
        </row>
        <row r="316">
          <cell r="A316">
            <v>289</v>
          </cell>
          <cell r="K316">
            <v>909816.37332617119</v>
          </cell>
        </row>
        <row r="317">
          <cell r="A317">
            <v>290</v>
          </cell>
          <cell r="K317">
            <v>924979.97954827396</v>
          </cell>
        </row>
        <row r="318">
          <cell r="A318">
            <v>291</v>
          </cell>
          <cell r="K318">
            <v>940396.31254074513</v>
          </cell>
        </row>
        <row r="319">
          <cell r="A319">
            <v>292</v>
          </cell>
          <cell r="K319">
            <v>956069.58441642416</v>
          </cell>
        </row>
        <row r="320">
          <cell r="A320">
            <v>293</v>
          </cell>
          <cell r="K320">
            <v>972004.07749003114</v>
          </cell>
        </row>
        <row r="321">
          <cell r="A321">
            <v>294</v>
          </cell>
          <cell r="K321">
            <v>988204.14544819831</v>
          </cell>
        </row>
        <row r="322">
          <cell r="A322">
            <v>295</v>
          </cell>
          <cell r="K322">
            <v>1004674.2145390015</v>
          </cell>
        </row>
        <row r="323">
          <cell r="A323">
            <v>296</v>
          </cell>
          <cell r="K323">
            <v>1021418.7847813182</v>
          </cell>
        </row>
        <row r="324">
          <cell r="A324">
            <v>297</v>
          </cell>
          <cell r="K324">
            <v>1038442.43119434</v>
          </cell>
        </row>
        <row r="325">
          <cell r="A325">
            <v>298</v>
          </cell>
          <cell r="K325">
            <v>1055749.8050475789</v>
          </cell>
        </row>
        <row r="326">
          <cell r="A326">
            <v>299</v>
          </cell>
          <cell r="K326">
            <v>1073345.6351317051</v>
          </cell>
        </row>
        <row r="327">
          <cell r="A327">
            <v>300</v>
          </cell>
          <cell r="K327">
            <v>1091234.7290505669</v>
          </cell>
        </row>
        <row r="328">
          <cell r="A328">
            <v>301</v>
          </cell>
          <cell r="K328">
            <v>1109421.9745347428</v>
          </cell>
        </row>
        <row r="329">
          <cell r="A329">
            <v>302</v>
          </cell>
          <cell r="K329">
            <v>1127912.3407769885</v>
          </cell>
        </row>
        <row r="330">
          <cell r="A330">
            <v>303</v>
          </cell>
          <cell r="K330">
            <v>1146710.8797899382</v>
          </cell>
        </row>
        <row r="331">
          <cell r="A331">
            <v>304</v>
          </cell>
          <cell r="K331">
            <v>1165822.7277864371</v>
          </cell>
        </row>
        <row r="332">
          <cell r="A332">
            <v>305</v>
          </cell>
          <cell r="K332">
            <v>1185253.1065828777</v>
          </cell>
        </row>
        <row r="333">
          <cell r="A333">
            <v>306</v>
          </cell>
          <cell r="K333">
            <v>1205007.3250259256</v>
          </cell>
        </row>
        <row r="334">
          <cell r="A334">
            <v>307</v>
          </cell>
          <cell r="K334">
            <v>1225090.7804430241</v>
          </cell>
        </row>
        <row r="335">
          <cell r="A335">
            <v>308</v>
          </cell>
          <cell r="K335">
            <v>1245508.9601170744</v>
          </cell>
        </row>
        <row r="336">
          <cell r="A336">
            <v>309</v>
          </cell>
          <cell r="K336">
            <v>1266267.4427856922</v>
          </cell>
        </row>
        <row r="337">
          <cell r="A337">
            <v>310</v>
          </cell>
          <cell r="K337">
            <v>1287371.9001654536</v>
          </cell>
        </row>
        <row r="338">
          <cell r="A338">
            <v>311</v>
          </cell>
          <cell r="K338">
            <v>1308828.0985015444</v>
          </cell>
        </row>
        <row r="339">
          <cell r="A339">
            <v>312</v>
          </cell>
          <cell r="K339">
            <v>1330641.9001432366</v>
          </cell>
        </row>
        <row r="340">
          <cell r="A340">
            <v>313</v>
          </cell>
          <cell r="K340">
            <v>1352819.2651456241</v>
          </cell>
        </row>
        <row r="341">
          <cell r="A341">
            <v>314</v>
          </cell>
          <cell r="K341">
            <v>1375366.2528980509</v>
          </cell>
        </row>
        <row r="342">
          <cell r="A342">
            <v>315</v>
          </cell>
          <cell r="K342">
            <v>1398289.0237796851</v>
          </cell>
        </row>
        <row r="343">
          <cell r="A343">
            <v>316</v>
          </cell>
          <cell r="K343">
            <v>1421593.8408426798</v>
          </cell>
        </row>
        <row r="344">
          <cell r="A344">
            <v>317</v>
          </cell>
          <cell r="K344">
            <v>1445287.0715233912</v>
          </cell>
        </row>
        <row r="345">
          <cell r="A345">
            <v>318</v>
          </cell>
          <cell r="K345">
            <v>1469375.189382114</v>
          </cell>
        </row>
        <row r="346">
          <cell r="A346">
            <v>319</v>
          </cell>
          <cell r="K346">
            <v>1493864.7758718161</v>
          </cell>
        </row>
        <row r="347">
          <cell r="A347">
            <v>320</v>
          </cell>
          <cell r="K347">
            <v>1518762.5221363462</v>
          </cell>
        </row>
        <row r="348">
          <cell r="A348">
            <v>321</v>
          </cell>
          <cell r="K348">
            <v>1544075.2308386185</v>
          </cell>
        </row>
        <row r="349">
          <cell r="A349">
            <v>322</v>
          </cell>
          <cell r="K349">
            <v>1569809.8180192618</v>
          </cell>
        </row>
        <row r="350">
          <cell r="A350">
            <v>323</v>
          </cell>
          <cell r="K350">
            <v>1595973.3149862497</v>
          </cell>
        </row>
        <row r="351">
          <cell r="A351">
            <v>324</v>
          </cell>
          <cell r="K351">
            <v>1622572.8702360203</v>
          </cell>
        </row>
        <row r="352">
          <cell r="A352">
            <v>325</v>
          </cell>
          <cell r="K352">
            <v>1649615.7514066205</v>
          </cell>
        </row>
        <row r="353">
          <cell r="A353">
            <v>326</v>
          </cell>
          <cell r="K353">
            <v>1677109.3472633974</v>
          </cell>
        </row>
        <row r="354">
          <cell r="A354">
            <v>327</v>
          </cell>
          <cell r="K354">
            <v>1705061.1697177873</v>
          </cell>
        </row>
        <row r="355">
          <cell r="A355">
            <v>328</v>
          </cell>
          <cell r="K355">
            <v>1733478.8558797503</v>
          </cell>
        </row>
        <row r="356">
          <cell r="A356">
            <v>329</v>
          </cell>
          <cell r="K356">
            <v>1762370.1701444127</v>
          </cell>
        </row>
        <row r="357">
          <cell r="A357">
            <v>330</v>
          </cell>
          <cell r="K357">
            <v>1791743.006313486</v>
          </cell>
        </row>
        <row r="358">
          <cell r="A358">
            <v>331</v>
          </cell>
          <cell r="K358">
            <v>1821605.3897520441</v>
          </cell>
        </row>
        <row r="359">
          <cell r="A359">
            <v>332</v>
          </cell>
          <cell r="K359">
            <v>1851965.4795812448</v>
          </cell>
        </row>
        <row r="360">
          <cell r="A360">
            <v>333</v>
          </cell>
          <cell r="K360">
            <v>1882831.5709075988</v>
          </cell>
        </row>
        <row r="361">
          <cell r="A361">
            <v>334</v>
          </cell>
          <cell r="K361">
            <v>1914212.0970893919</v>
          </cell>
        </row>
        <row r="362">
          <cell r="A362">
            <v>335</v>
          </cell>
          <cell r="K362">
            <v>1946115.6320408818</v>
          </cell>
        </row>
        <row r="363">
          <cell r="A363">
            <v>336</v>
          </cell>
          <cell r="K363">
            <v>1978550.8925748963</v>
          </cell>
        </row>
        <row r="364">
          <cell r="A364">
            <v>337</v>
          </cell>
          <cell r="K364">
            <v>2011526.7407844779</v>
          </cell>
        </row>
        <row r="365">
          <cell r="A365">
            <v>338</v>
          </cell>
          <cell r="K365">
            <v>2045052.1864642191</v>
          </cell>
        </row>
        <row r="366">
          <cell r="A366">
            <v>339</v>
          </cell>
          <cell r="K366">
            <v>2079136.3895719559</v>
          </cell>
        </row>
        <row r="367">
          <cell r="A367">
            <v>340</v>
          </cell>
          <cell r="K367">
            <v>2113788.6627314882</v>
          </cell>
        </row>
        <row r="368">
          <cell r="A368">
            <v>341</v>
          </cell>
          <cell r="K368">
            <v>2149018.4737770129</v>
          </cell>
        </row>
        <row r="369">
          <cell r="A369">
            <v>342</v>
          </cell>
          <cell r="K369">
            <v>2184835.4483399629</v>
          </cell>
        </row>
        <row r="370">
          <cell r="A370">
            <v>343</v>
          </cell>
          <cell r="K370">
            <v>2221249.3724789624</v>
          </cell>
        </row>
        <row r="371">
          <cell r="A371">
            <v>344</v>
          </cell>
          <cell r="K371">
            <v>2258270.1953536114</v>
          </cell>
        </row>
        <row r="372">
          <cell r="A372">
            <v>345</v>
          </cell>
          <cell r="K372">
            <v>2295908.0319428383</v>
          </cell>
        </row>
        <row r="373">
          <cell r="A373">
            <v>346</v>
          </cell>
          <cell r="K373">
            <v>2334173.1658085519</v>
          </cell>
        </row>
        <row r="374">
          <cell r="A374">
            <v>347</v>
          </cell>
          <cell r="K374">
            <v>2373076.051905361</v>
          </cell>
        </row>
        <row r="375">
          <cell r="A375">
            <v>348</v>
          </cell>
          <cell r="K375">
            <v>2412627.3194371169</v>
          </cell>
        </row>
        <row r="376">
          <cell r="A376">
            <v>349</v>
          </cell>
          <cell r="K376">
            <v>2452837.7747610686</v>
          </cell>
        </row>
        <row r="377">
          <cell r="A377">
            <v>350</v>
          </cell>
          <cell r="K377">
            <v>2493718.4043404199</v>
          </cell>
        </row>
        <row r="378">
          <cell r="A378">
            <v>351</v>
          </cell>
          <cell r="K378">
            <v>2535280.3777460936</v>
          </cell>
        </row>
        <row r="379">
          <cell r="A379">
            <v>352</v>
          </cell>
          <cell r="K379">
            <v>2577535.0507085281</v>
          </cell>
        </row>
        <row r="380">
          <cell r="A380">
            <v>353</v>
          </cell>
          <cell r="K380">
            <v>2620493.9682203368</v>
          </cell>
        </row>
        <row r="381">
          <cell r="A381">
            <v>354</v>
          </cell>
          <cell r="K381">
            <v>2664168.8676906754</v>
          </cell>
        </row>
        <row r="382">
          <cell r="A382">
            <v>355</v>
          </cell>
          <cell r="K382">
            <v>2708571.6821521865</v>
          </cell>
        </row>
        <row r="383">
          <cell r="A383">
            <v>356</v>
          </cell>
          <cell r="K383">
            <v>2753714.5435213898</v>
          </cell>
        </row>
        <row r="384">
          <cell r="A384">
            <v>357</v>
          </cell>
          <cell r="K384">
            <v>2799609.7859134129</v>
          </cell>
        </row>
        <row r="385">
          <cell r="A385">
            <v>358</v>
          </cell>
          <cell r="K385">
            <v>2846269.9490119698</v>
          </cell>
        </row>
        <row r="386">
          <cell r="A386">
            <v>359</v>
          </cell>
          <cell r="K386">
            <v>2893707.7814955022</v>
          </cell>
        </row>
        <row r="387">
          <cell r="A387">
            <v>360</v>
          </cell>
          <cell r="K387">
            <v>2941936.2445204267</v>
          </cell>
        </row>
      </sheetData>
      <sheetData sheetId="3"/>
      <sheetData sheetId="4"/>
      <sheetData sheetId="5" refreshError="1"/>
      <sheetData sheetId="6"/>
      <sheetData sheetId="7"/>
      <sheetData sheetId="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E10" totalsRowShown="0" headerRowDxfId="12" dataDxfId="10" headerRowBorderDxfId="11" tableBorderDxfId="9" totalsRowBorderDxfId="8">
  <autoFilter ref="A2:E10" xr:uid="{00000000-0009-0000-0100-000001000000}"/>
  <tableColumns count="5">
    <tableColumn id="1" xr3:uid="{00000000-0010-0000-0000-000001000000}" name="VENDEDOR" dataDxfId="7"/>
    <tableColumn id="2" xr3:uid="{00000000-0010-0000-0000-000002000000}" name="VENTAS" dataDxfId="6"/>
    <tableColumn id="3" xr3:uid="{00000000-0010-0000-0000-000003000000}" name="PROMEDIO" dataDxfId="5"/>
    <tableColumn id="4" xr3:uid="{00000000-0010-0000-0000-000004000000}" name="LSC" dataDxfId="4">
      <calculatedColumnFormula>$G$2+1*$G$4</calculatedColumnFormula>
    </tableColumn>
    <tableColumn id="5" xr3:uid="{00000000-0010-0000-0000-000005000000}" name="LIC" dataDxfId="3">
      <calculatedColumnFormula>$G$2-1*$G$4</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workbookViewId="0">
      <selection activeCell="K11" sqref="K11"/>
    </sheetView>
  </sheetViews>
  <sheetFormatPr baseColWidth="10" defaultColWidth="11.42578125" defaultRowHeight="15" x14ac:dyDescent="0.25"/>
  <cols>
    <col min="1" max="1" width="10.7109375" customWidth="1"/>
    <col min="2" max="2" width="38.85546875" customWidth="1"/>
    <col min="3" max="4" width="10.7109375"/>
    <col min="5" max="5" width="11.42578125" style="80"/>
    <col min="6" max="6" width="12.5703125" style="80" bestFit="1" customWidth="1"/>
    <col min="7" max="16384" width="11.42578125" style="80"/>
  </cols>
  <sheetData>
    <row r="1" spans="1:6" x14ac:dyDescent="0.25">
      <c r="A1" s="80"/>
      <c r="B1" s="80"/>
      <c r="C1" s="80"/>
      <c r="D1" s="80"/>
    </row>
    <row r="2" spans="1:6" x14ac:dyDescent="0.25">
      <c r="A2" s="416" t="s">
        <v>729</v>
      </c>
      <c r="B2" s="416"/>
      <c r="C2" s="416"/>
      <c r="D2" s="416"/>
    </row>
    <row r="3" spans="1:6" x14ac:dyDescent="0.25">
      <c r="A3" s="416"/>
      <c r="B3" s="416"/>
      <c r="C3" s="416"/>
      <c r="D3" s="416"/>
    </row>
    <row r="4" spans="1:6" x14ac:dyDescent="0.25">
      <c r="A4" s="80"/>
      <c r="B4" s="80"/>
      <c r="C4" s="80"/>
      <c r="D4" s="80"/>
    </row>
    <row r="5" spans="1:6" x14ac:dyDescent="0.25">
      <c r="A5" s="80"/>
      <c r="B5" s="80"/>
      <c r="C5" s="80"/>
      <c r="D5" s="80"/>
    </row>
    <row r="6" spans="1:6" x14ac:dyDescent="0.25">
      <c r="A6" s="417" t="s">
        <v>0</v>
      </c>
      <c r="B6" s="417"/>
      <c r="C6" s="417"/>
      <c r="D6" s="417"/>
    </row>
    <row r="7" spans="1:6" x14ac:dyDescent="0.25">
      <c r="A7" s="417"/>
      <c r="B7" s="417"/>
      <c r="C7" s="417"/>
      <c r="D7" s="417"/>
    </row>
    <row r="8" spans="1:6" x14ac:dyDescent="0.25">
      <c r="A8" s="1"/>
      <c r="B8" s="2"/>
      <c r="C8" s="3" t="s">
        <v>1</v>
      </c>
      <c r="D8" s="3" t="s">
        <v>2</v>
      </c>
    </row>
    <row r="9" spans="1:6" ht="45" x14ac:dyDescent="0.25">
      <c r="A9" s="4">
        <v>1</v>
      </c>
      <c r="B9" s="5" t="s">
        <v>3</v>
      </c>
      <c r="C9" s="6"/>
      <c r="D9" s="6"/>
    </row>
    <row r="10" spans="1:6" x14ac:dyDescent="0.25">
      <c r="A10" s="4">
        <v>2</v>
      </c>
      <c r="B10" s="5" t="s">
        <v>4</v>
      </c>
      <c r="C10" s="6"/>
      <c r="D10" s="6"/>
    </row>
    <row r="11" spans="1:6" ht="75" x14ac:dyDescent="0.25">
      <c r="A11" s="4">
        <v>3</v>
      </c>
      <c r="B11" s="5" t="s">
        <v>5</v>
      </c>
      <c r="C11" s="6"/>
      <c r="D11" s="6"/>
    </row>
    <row r="12" spans="1:6" x14ac:dyDescent="0.25">
      <c r="A12" s="4">
        <v>4</v>
      </c>
      <c r="B12" s="5" t="s">
        <v>6</v>
      </c>
      <c r="C12" s="6"/>
      <c r="D12" s="6"/>
    </row>
    <row r="13" spans="1:6" ht="60" x14ac:dyDescent="0.25">
      <c r="A13" s="4">
        <v>5</v>
      </c>
      <c r="B13" s="5" t="s">
        <v>7</v>
      </c>
      <c r="C13" s="6"/>
      <c r="D13" s="6"/>
      <c r="F13" s="395"/>
    </row>
    <row r="14" spans="1:6" ht="45" x14ac:dyDescent="0.25">
      <c r="A14" s="4">
        <v>6</v>
      </c>
      <c r="B14" s="5" t="s">
        <v>8</v>
      </c>
      <c r="C14" s="6"/>
      <c r="D14" s="6"/>
    </row>
    <row r="15" spans="1:6" ht="60" x14ac:dyDescent="0.25">
      <c r="A15" s="360">
        <v>7</v>
      </c>
      <c r="B15" s="361" t="s">
        <v>9</v>
      </c>
      <c r="C15" s="362"/>
      <c r="D15" s="362"/>
    </row>
    <row r="16" spans="1:6" ht="25.5" x14ac:dyDescent="0.25">
      <c r="A16" s="363">
        <v>8</v>
      </c>
      <c r="B16" s="364" t="s">
        <v>10</v>
      </c>
      <c r="C16" s="6"/>
      <c r="D16" s="6"/>
    </row>
    <row r="17" spans="1:4" x14ac:dyDescent="0.25">
      <c r="A17" s="1"/>
      <c r="B17" s="359"/>
      <c r="C17" s="7"/>
      <c r="D17" s="7"/>
    </row>
    <row r="18" spans="1:4" x14ac:dyDescent="0.25">
      <c r="A18" s="418" t="s">
        <v>11</v>
      </c>
      <c r="B18" s="418"/>
      <c r="C18" s="418"/>
      <c r="D18" s="418"/>
    </row>
    <row r="19" spans="1:4" x14ac:dyDescent="0.25">
      <c r="A19" s="418"/>
      <c r="B19" s="418"/>
      <c r="C19" s="418"/>
      <c r="D19" s="418"/>
    </row>
    <row r="20" spans="1:4" ht="15.75" x14ac:dyDescent="0.25">
      <c r="A20" s="8"/>
      <c r="B20" s="8"/>
      <c r="C20" s="9" t="s">
        <v>1</v>
      </c>
      <c r="D20" s="9" t="s">
        <v>2</v>
      </c>
    </row>
    <row r="21" spans="1:4" ht="45" x14ac:dyDescent="0.25">
      <c r="A21" s="4">
        <v>1</v>
      </c>
      <c r="B21" s="10" t="s">
        <v>12</v>
      </c>
      <c r="C21" s="11"/>
      <c r="D21" s="11"/>
    </row>
    <row r="22" spans="1:4" ht="45" x14ac:dyDescent="0.25">
      <c r="A22" s="4">
        <v>2</v>
      </c>
      <c r="B22" s="10" t="s">
        <v>13</v>
      </c>
      <c r="C22" s="11"/>
      <c r="D22" s="11"/>
    </row>
    <row r="23" spans="1:4" ht="60" x14ac:dyDescent="0.25">
      <c r="A23" s="4">
        <v>3</v>
      </c>
      <c r="B23" s="10" t="s">
        <v>14</v>
      </c>
      <c r="C23" s="11"/>
      <c r="D23" s="11"/>
    </row>
    <row r="24" spans="1:4" ht="60" x14ac:dyDescent="0.25">
      <c r="A24" s="4">
        <v>4</v>
      </c>
      <c r="B24" s="10" t="s">
        <v>15</v>
      </c>
      <c r="C24" s="11"/>
      <c r="D24" s="11"/>
    </row>
    <row r="25" spans="1:4" ht="30" x14ac:dyDescent="0.25">
      <c r="A25" s="4">
        <v>5</v>
      </c>
      <c r="B25" s="10" t="s">
        <v>16</v>
      </c>
      <c r="C25" s="11"/>
      <c r="D25" s="11"/>
    </row>
    <row r="26" spans="1:4" ht="30" x14ac:dyDescent="0.25">
      <c r="A26" s="4">
        <v>6</v>
      </c>
      <c r="B26" s="10" t="s">
        <v>17</v>
      </c>
      <c r="C26" s="11"/>
      <c r="D26" s="11"/>
    </row>
    <row r="27" spans="1:4" ht="45" x14ac:dyDescent="0.25">
      <c r="A27" s="4">
        <v>7</v>
      </c>
      <c r="B27" s="10" t="s">
        <v>18</v>
      </c>
      <c r="C27" s="11"/>
      <c r="D27" s="11"/>
    </row>
    <row r="28" spans="1:4" x14ac:dyDescent="0.25">
      <c r="A28" s="1"/>
      <c r="B28" s="2"/>
      <c r="C28" s="7"/>
      <c r="D28" s="12"/>
    </row>
    <row r="29" spans="1:4" x14ac:dyDescent="0.25">
      <c r="A29" s="419" t="s">
        <v>19</v>
      </c>
      <c r="B29" s="419"/>
      <c r="C29" s="419"/>
      <c r="D29" s="419"/>
    </row>
    <row r="30" spans="1:4" x14ac:dyDescent="0.25">
      <c r="A30" s="419"/>
      <c r="B30" s="419"/>
      <c r="C30" s="419"/>
      <c r="D30" s="419"/>
    </row>
    <row r="31" spans="1:4" ht="15.75" x14ac:dyDescent="0.25">
      <c r="A31" s="8"/>
      <c r="B31" s="8"/>
      <c r="C31" s="3" t="s">
        <v>1</v>
      </c>
      <c r="D31" s="3" t="s">
        <v>2</v>
      </c>
    </row>
    <row r="32" spans="1:4" ht="30" x14ac:dyDescent="0.25">
      <c r="A32" s="4">
        <v>1</v>
      </c>
      <c r="B32" s="10" t="s">
        <v>20</v>
      </c>
      <c r="C32" s="11"/>
      <c r="D32" s="11"/>
    </row>
    <row r="33" spans="1:4" ht="60" x14ac:dyDescent="0.25">
      <c r="A33" s="4">
        <v>2</v>
      </c>
      <c r="B33" s="10" t="s">
        <v>21</v>
      </c>
      <c r="C33" s="11"/>
      <c r="D33" s="11"/>
    </row>
    <row r="34" spans="1:4" ht="30" x14ac:dyDescent="0.25">
      <c r="A34" s="4">
        <v>3</v>
      </c>
      <c r="B34" s="10" t="s">
        <v>22</v>
      </c>
      <c r="C34" s="11"/>
      <c r="D34" s="11"/>
    </row>
    <row r="35" spans="1:4" ht="30" x14ac:dyDescent="0.25">
      <c r="A35" s="4">
        <v>4</v>
      </c>
      <c r="B35" s="10" t="s">
        <v>23</v>
      </c>
      <c r="C35" s="11"/>
      <c r="D35" s="11"/>
    </row>
    <row r="36" spans="1:4" ht="30" x14ac:dyDescent="0.25">
      <c r="A36" s="4">
        <v>5</v>
      </c>
      <c r="B36" s="10" t="s">
        <v>24</v>
      </c>
      <c r="C36" s="11"/>
      <c r="D36" s="11"/>
    </row>
    <row r="37" spans="1:4" x14ac:dyDescent="0.25">
      <c r="A37" s="1"/>
      <c r="B37" s="2"/>
      <c r="C37" s="7"/>
      <c r="D37" s="12"/>
    </row>
    <row r="38" spans="1:4" x14ac:dyDescent="0.25">
      <c r="A38" s="420" t="s">
        <v>25</v>
      </c>
      <c r="B38" s="420"/>
      <c r="C38" s="420"/>
      <c r="D38" s="420"/>
    </row>
    <row r="39" spans="1:4" x14ac:dyDescent="0.25">
      <c r="A39" s="420"/>
      <c r="B39" s="420"/>
      <c r="C39" s="420"/>
      <c r="D39" s="420"/>
    </row>
    <row r="40" spans="1:4" ht="15.75" x14ac:dyDescent="0.25">
      <c r="A40" s="8"/>
      <c r="B40" s="8"/>
      <c r="C40" s="3" t="s">
        <v>1</v>
      </c>
      <c r="D40" s="3" t="s">
        <v>2</v>
      </c>
    </row>
    <row r="41" spans="1:4" ht="45" x14ac:dyDescent="0.25">
      <c r="A41" s="4">
        <v>1</v>
      </c>
      <c r="B41" s="10" t="s">
        <v>26</v>
      </c>
      <c r="C41" s="11"/>
      <c r="D41" s="11"/>
    </row>
    <row r="42" spans="1:4" ht="45" x14ac:dyDescent="0.25">
      <c r="A42" s="4">
        <v>2</v>
      </c>
      <c r="B42" s="10" t="s">
        <v>27</v>
      </c>
      <c r="C42" s="11"/>
      <c r="D42" s="11"/>
    </row>
    <row r="43" spans="1:4" ht="30" x14ac:dyDescent="0.25">
      <c r="A43" s="4">
        <v>3</v>
      </c>
      <c r="B43" s="10" t="s">
        <v>28</v>
      </c>
      <c r="C43" s="11"/>
      <c r="D43" s="11"/>
    </row>
    <row r="44" spans="1:4" ht="45" x14ac:dyDescent="0.25">
      <c r="A44" s="4">
        <v>4</v>
      </c>
      <c r="B44" s="10" t="s">
        <v>29</v>
      </c>
      <c r="C44" s="11"/>
      <c r="D44" s="11"/>
    </row>
    <row r="45" spans="1:4" ht="45" x14ac:dyDescent="0.25">
      <c r="A45" s="4">
        <v>5</v>
      </c>
      <c r="B45" s="10" t="s">
        <v>30</v>
      </c>
      <c r="C45" s="11"/>
      <c r="D45" s="11"/>
    </row>
    <row r="46" spans="1:4" ht="45" x14ac:dyDescent="0.25">
      <c r="A46" s="4">
        <v>6</v>
      </c>
      <c r="B46" s="10" t="s">
        <v>31</v>
      </c>
      <c r="C46" s="11"/>
      <c r="D46" s="11"/>
    </row>
    <row r="47" spans="1:4" x14ac:dyDescent="0.25">
      <c r="A47" s="1"/>
      <c r="B47" s="2"/>
      <c r="C47" s="7"/>
      <c r="D47" s="12"/>
    </row>
    <row r="48" spans="1:4" x14ac:dyDescent="0.25">
      <c r="A48" s="415" t="s">
        <v>32</v>
      </c>
      <c r="B48" s="415"/>
      <c r="C48" s="415"/>
      <c r="D48" s="415"/>
    </row>
    <row r="49" spans="1:4" x14ac:dyDescent="0.25">
      <c r="A49" s="415"/>
      <c r="B49" s="415"/>
      <c r="C49" s="415"/>
      <c r="D49" s="415"/>
    </row>
    <row r="50" spans="1:4" ht="15.75" x14ac:dyDescent="0.25">
      <c r="A50" s="8"/>
      <c r="B50" s="8"/>
      <c r="C50" s="3" t="s">
        <v>1</v>
      </c>
      <c r="D50" s="3" t="s">
        <v>2</v>
      </c>
    </row>
    <row r="51" spans="1:4" ht="60" x14ac:dyDescent="0.25">
      <c r="A51" s="4">
        <v>1</v>
      </c>
      <c r="B51" s="10" t="s">
        <v>33</v>
      </c>
      <c r="C51" s="11"/>
      <c r="D51" s="11"/>
    </row>
    <row r="52" spans="1:4" ht="30" x14ac:dyDescent="0.25">
      <c r="A52" s="4">
        <v>2</v>
      </c>
      <c r="B52" s="10" t="s">
        <v>34</v>
      </c>
      <c r="C52" s="11"/>
      <c r="D52" s="11"/>
    </row>
    <row r="53" spans="1:4" ht="75" x14ac:dyDescent="0.25">
      <c r="A53" s="4">
        <v>3</v>
      </c>
      <c r="B53" s="10" t="s">
        <v>35</v>
      </c>
      <c r="C53" s="11"/>
      <c r="D53" s="11"/>
    </row>
    <row r="54" spans="1:4" ht="30" x14ac:dyDescent="0.25">
      <c r="A54" s="4">
        <v>4</v>
      </c>
      <c r="B54" s="10" t="s">
        <v>36</v>
      </c>
      <c r="C54" s="11"/>
      <c r="D54" s="11"/>
    </row>
  </sheetData>
  <mergeCells count="6">
    <mergeCell ref="A48:D49"/>
    <mergeCell ref="A2:D3"/>
    <mergeCell ref="A6:D7"/>
    <mergeCell ref="A18:D19"/>
    <mergeCell ref="A29:D30"/>
    <mergeCell ref="A38:D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9"/>
  <sheetViews>
    <sheetView topLeftCell="A5" zoomScale="73" zoomScaleNormal="73" workbookViewId="0">
      <selection activeCell="B2" sqref="B2"/>
    </sheetView>
  </sheetViews>
  <sheetFormatPr baseColWidth="10" defaultColWidth="9.140625" defaultRowHeight="15" x14ac:dyDescent="0.25"/>
  <cols>
    <col min="1" max="1" width="1.42578125" style="396" customWidth="1"/>
    <col min="2" max="2" width="16.5703125" style="396" bestFit="1" customWidth="1"/>
    <col min="3" max="5" width="8.42578125" style="396" customWidth="1"/>
    <col min="6" max="6" width="8.7109375" style="396" customWidth="1"/>
    <col min="7" max="16" width="8.42578125" style="396" customWidth="1"/>
    <col min="17" max="16384" width="9.140625" style="396"/>
  </cols>
  <sheetData>
    <row r="1" spans="1:16" ht="9.75" customHeight="1" x14ac:dyDescent="0.25"/>
    <row r="3" spans="1:16" s="397" customFormat="1" ht="51" customHeight="1" x14ac:dyDescent="0.25"/>
    <row r="4" spans="1:16" x14ac:dyDescent="0.25">
      <c r="A4" s="13"/>
      <c r="B4" s="421" t="s">
        <v>793</v>
      </c>
      <c r="C4" s="421"/>
      <c r="D4" s="421"/>
      <c r="E4" s="421"/>
      <c r="F4" s="421"/>
      <c r="G4" s="421"/>
      <c r="H4" s="421"/>
      <c r="I4" s="421"/>
      <c r="J4" s="421"/>
      <c r="K4" s="421"/>
      <c r="L4" s="421"/>
      <c r="M4" s="421"/>
      <c r="N4" s="421"/>
      <c r="O4" s="421"/>
      <c r="P4" s="421"/>
    </row>
    <row r="5" spans="1:16" x14ac:dyDescent="0.25">
      <c r="A5" s="13"/>
      <c r="B5" s="421"/>
      <c r="C5" s="421"/>
      <c r="D5" s="421"/>
      <c r="E5" s="421"/>
      <c r="F5" s="421"/>
      <c r="G5" s="421"/>
      <c r="H5" s="421"/>
      <c r="I5" s="421"/>
      <c r="J5" s="421"/>
      <c r="K5" s="421"/>
      <c r="L5" s="421"/>
      <c r="M5" s="421"/>
      <c r="N5" s="421"/>
      <c r="O5" s="421"/>
      <c r="P5" s="421"/>
    </row>
    <row r="6" spans="1:16" x14ac:dyDescent="0.25">
      <c r="A6" s="13"/>
      <c r="B6" s="421"/>
      <c r="C6" s="421"/>
      <c r="D6" s="421"/>
      <c r="E6" s="421"/>
      <c r="F6" s="421"/>
      <c r="G6" s="421"/>
      <c r="H6" s="421"/>
      <c r="I6" s="421"/>
      <c r="J6" s="421"/>
      <c r="K6" s="421"/>
      <c r="L6" s="421"/>
      <c r="M6" s="421"/>
      <c r="N6" s="421"/>
      <c r="O6" s="421"/>
      <c r="P6" s="421"/>
    </row>
    <row r="7" spans="1:16" x14ac:dyDescent="0.25">
      <c r="A7" s="13"/>
      <c r="B7" s="421"/>
      <c r="C7" s="421"/>
      <c r="D7" s="421"/>
      <c r="E7" s="421"/>
      <c r="F7" s="421"/>
      <c r="G7" s="421"/>
      <c r="H7" s="421"/>
      <c r="I7" s="421"/>
      <c r="J7" s="421"/>
      <c r="K7" s="421"/>
      <c r="L7" s="421"/>
      <c r="M7" s="421"/>
      <c r="N7" s="421"/>
      <c r="O7" s="421"/>
      <c r="P7" s="421"/>
    </row>
    <row r="8" spans="1:16" x14ac:dyDescent="0.25">
      <c r="A8" s="13"/>
    </row>
    <row r="9" spans="1:16" x14ac:dyDescent="0.25">
      <c r="A9" s="13"/>
    </row>
    <row r="10" spans="1:16" x14ac:dyDescent="0.25">
      <c r="A10" s="13"/>
    </row>
    <row r="11" spans="1:16" x14ac:dyDescent="0.25">
      <c r="A11" s="13"/>
      <c r="B11" s="423" t="s">
        <v>37</v>
      </c>
      <c r="C11" s="423"/>
      <c r="D11" s="423"/>
      <c r="E11" s="423"/>
      <c r="F11" s="423"/>
      <c r="G11" s="423"/>
    </row>
    <row r="12" spans="1:16" ht="48" x14ac:dyDescent="0.25">
      <c r="A12" s="13"/>
      <c r="B12" s="14" t="s">
        <v>38</v>
      </c>
      <c r="C12" s="14" t="s">
        <v>39</v>
      </c>
      <c r="D12" s="14" t="s">
        <v>40</v>
      </c>
      <c r="E12" s="14" t="s">
        <v>41</v>
      </c>
      <c r="F12" s="15" t="s">
        <v>42</v>
      </c>
      <c r="G12" s="14" t="s">
        <v>43</v>
      </c>
    </row>
    <row r="13" spans="1:16" x14ac:dyDescent="0.25">
      <c r="A13" s="13"/>
      <c r="B13" s="16" t="s">
        <v>44</v>
      </c>
      <c r="C13" s="16">
        <v>1</v>
      </c>
      <c r="D13" s="16" t="s">
        <v>45</v>
      </c>
      <c r="E13" s="16">
        <v>30</v>
      </c>
      <c r="F13" s="16" t="s">
        <v>46</v>
      </c>
      <c r="G13" s="16">
        <v>5</v>
      </c>
    </row>
    <row r="14" spans="1:16" x14ac:dyDescent="0.25">
      <c r="A14" s="13"/>
      <c r="B14" s="16" t="s">
        <v>47</v>
      </c>
      <c r="C14" s="16">
        <v>2</v>
      </c>
      <c r="D14" s="16">
        <v>40</v>
      </c>
      <c r="E14" s="16">
        <v>15</v>
      </c>
      <c r="F14" s="16" t="s">
        <v>46</v>
      </c>
      <c r="G14" s="16" t="s">
        <v>46</v>
      </c>
    </row>
    <row r="15" spans="1:16" x14ac:dyDescent="0.25">
      <c r="A15" s="13"/>
      <c r="B15" s="16" t="s">
        <v>48</v>
      </c>
      <c r="C15" s="16">
        <v>2</v>
      </c>
      <c r="D15" s="16">
        <v>100</v>
      </c>
      <c r="E15" s="16">
        <v>8</v>
      </c>
      <c r="F15" s="16" t="s">
        <v>46</v>
      </c>
      <c r="G15" s="16">
        <v>8</v>
      </c>
    </row>
    <row r="16" spans="1:16" x14ac:dyDescent="0.25">
      <c r="A16" s="13"/>
      <c r="B16" s="16" t="s">
        <v>49</v>
      </c>
      <c r="C16" s="16">
        <v>3</v>
      </c>
      <c r="D16" s="16">
        <v>120</v>
      </c>
      <c r="E16" s="16">
        <v>30</v>
      </c>
      <c r="F16" s="16" t="s">
        <v>46</v>
      </c>
      <c r="G16" s="16" t="s">
        <v>46</v>
      </c>
    </row>
    <row r="17" spans="1:16" x14ac:dyDescent="0.25">
      <c r="A17" s="13"/>
      <c r="B17" s="16" t="s">
        <v>50</v>
      </c>
      <c r="C17" s="16">
        <v>2</v>
      </c>
      <c r="D17" s="16">
        <v>400</v>
      </c>
      <c r="E17" s="16">
        <v>20</v>
      </c>
      <c r="F17" s="17" t="s">
        <v>51</v>
      </c>
      <c r="G17" s="16">
        <v>20</v>
      </c>
    </row>
    <row r="18" spans="1:16" x14ac:dyDescent="0.25">
      <c r="A18" s="13"/>
      <c r="B18" s="16" t="s">
        <v>52</v>
      </c>
      <c r="C18" s="16">
        <v>2</v>
      </c>
      <c r="D18" s="16">
        <v>500</v>
      </c>
      <c r="E18" s="16">
        <v>370</v>
      </c>
      <c r="F18" s="16" t="s">
        <v>46</v>
      </c>
      <c r="G18" s="16">
        <v>50</v>
      </c>
    </row>
    <row r="22" spans="1:16" x14ac:dyDescent="0.25">
      <c r="A22" s="13"/>
      <c r="B22" s="422" t="s">
        <v>44</v>
      </c>
      <c r="C22" s="422"/>
      <c r="D22" s="422"/>
      <c r="E22" s="422"/>
      <c r="F22" s="422"/>
      <c r="G22" s="422"/>
      <c r="H22" s="422"/>
      <c r="I22" s="422"/>
      <c r="J22" s="422"/>
      <c r="K22" s="422"/>
      <c r="L22" s="422"/>
      <c r="M22" s="422"/>
      <c r="N22" s="422"/>
      <c r="O22" s="422"/>
      <c r="P22" s="422"/>
    </row>
    <row r="23" spans="1:16" x14ac:dyDescent="0.25">
      <c r="A23" s="13"/>
      <c r="B23" s="18" t="s">
        <v>53</v>
      </c>
      <c r="C23" s="19">
        <v>25</v>
      </c>
      <c r="D23" s="19">
        <v>26</v>
      </c>
      <c r="E23" s="19">
        <v>27</v>
      </c>
      <c r="F23" s="19">
        <v>28</v>
      </c>
      <c r="G23" s="19">
        <v>29</v>
      </c>
      <c r="H23" s="19">
        <v>30</v>
      </c>
      <c r="I23" s="19">
        <v>31</v>
      </c>
      <c r="J23" s="19">
        <v>32</v>
      </c>
      <c r="K23" s="19">
        <v>33</v>
      </c>
      <c r="L23" s="19">
        <v>34</v>
      </c>
      <c r="M23" s="19">
        <v>35</v>
      </c>
      <c r="N23" s="19">
        <v>36</v>
      </c>
      <c r="O23" s="19">
        <v>37</v>
      </c>
      <c r="P23" s="19">
        <v>38</v>
      </c>
    </row>
    <row r="24" spans="1:16" x14ac:dyDescent="0.25">
      <c r="A24" s="13"/>
      <c r="B24" s="18" t="s">
        <v>54</v>
      </c>
      <c r="C24" s="16"/>
      <c r="D24" s="16"/>
      <c r="E24" s="16"/>
      <c r="F24" s="16"/>
      <c r="G24" s="16"/>
      <c r="H24" s="16"/>
      <c r="I24" s="20">
        <v>20</v>
      </c>
      <c r="J24" s="16"/>
      <c r="K24" s="20">
        <v>40</v>
      </c>
      <c r="L24" s="16"/>
      <c r="M24" s="20">
        <v>20</v>
      </c>
      <c r="N24" s="16"/>
      <c r="O24" s="20">
        <v>10</v>
      </c>
      <c r="P24" s="16"/>
    </row>
    <row r="25" spans="1:16" x14ac:dyDescent="0.25">
      <c r="A25" s="13"/>
      <c r="B25" s="18" t="s">
        <v>55</v>
      </c>
      <c r="C25" s="16"/>
      <c r="D25" s="16"/>
      <c r="E25" s="16"/>
      <c r="F25" s="16"/>
      <c r="G25" s="16"/>
      <c r="H25" s="16">
        <v>35</v>
      </c>
      <c r="I25" s="16">
        <f>H30</f>
        <v>30</v>
      </c>
      <c r="J25" s="16">
        <f t="shared" ref="J25:P25" si="0">I30</f>
        <v>10</v>
      </c>
      <c r="K25" s="16">
        <f t="shared" si="0"/>
        <v>10</v>
      </c>
      <c r="L25" s="16">
        <f t="shared" si="0"/>
        <v>5</v>
      </c>
      <c r="M25" s="16">
        <f t="shared" si="0"/>
        <v>5</v>
      </c>
      <c r="N25" s="16">
        <f t="shared" si="0"/>
        <v>5</v>
      </c>
      <c r="O25" s="16">
        <f t="shared" si="0"/>
        <v>5</v>
      </c>
      <c r="P25" s="16">
        <f t="shared" si="0"/>
        <v>5</v>
      </c>
    </row>
    <row r="26" spans="1:16" x14ac:dyDescent="0.25">
      <c r="A26" s="13"/>
      <c r="B26" s="18" t="s">
        <v>56</v>
      </c>
      <c r="C26" s="16"/>
      <c r="D26" s="16"/>
      <c r="E26" s="16"/>
      <c r="F26" s="16"/>
      <c r="G26" s="16"/>
      <c r="H26" s="16"/>
      <c r="I26" s="16"/>
      <c r="J26" s="16"/>
      <c r="K26" s="16"/>
      <c r="L26" s="16"/>
      <c r="M26" s="16"/>
      <c r="N26" s="16"/>
      <c r="O26" s="16"/>
      <c r="P26" s="16"/>
    </row>
    <row r="27" spans="1:16" x14ac:dyDescent="0.25">
      <c r="A27" s="13"/>
      <c r="B27" s="18" t="s">
        <v>57</v>
      </c>
      <c r="C27" s="16"/>
      <c r="D27" s="16"/>
      <c r="E27" s="16"/>
      <c r="F27" s="16"/>
      <c r="G27" s="16"/>
      <c r="H27" s="16">
        <v>5</v>
      </c>
      <c r="I27" s="16">
        <v>5</v>
      </c>
      <c r="J27" s="16">
        <v>5</v>
      </c>
      <c r="K27" s="16">
        <v>5</v>
      </c>
      <c r="L27" s="16">
        <v>5</v>
      </c>
      <c r="M27" s="16">
        <v>5</v>
      </c>
      <c r="N27" s="16">
        <v>5</v>
      </c>
      <c r="O27" s="16">
        <v>5</v>
      </c>
      <c r="P27" s="16">
        <v>5</v>
      </c>
    </row>
    <row r="28" spans="1:16" x14ac:dyDescent="0.25">
      <c r="A28" s="13"/>
      <c r="B28" s="18" t="s">
        <v>58</v>
      </c>
      <c r="C28" s="16"/>
      <c r="D28" s="16"/>
      <c r="E28" s="16"/>
      <c r="F28" s="16"/>
      <c r="G28" s="16"/>
      <c r="H28" s="16">
        <f>IF(H24-H25+H27&lt;=0,0,H24-H25+H27)</f>
        <v>0</v>
      </c>
      <c r="I28" s="16">
        <f t="shared" ref="I28:P28" si="1">IF(I24-I25+I27&lt;=0,0,I24-I25+I27)</f>
        <v>0</v>
      </c>
      <c r="J28" s="16">
        <f t="shared" si="1"/>
        <v>0</v>
      </c>
      <c r="K28" s="16">
        <f t="shared" si="1"/>
        <v>35</v>
      </c>
      <c r="L28" s="16">
        <f t="shared" si="1"/>
        <v>0</v>
      </c>
      <c r="M28" s="16">
        <f t="shared" si="1"/>
        <v>20</v>
      </c>
      <c r="N28" s="16">
        <f t="shared" si="1"/>
        <v>0</v>
      </c>
      <c r="O28" s="16">
        <f t="shared" si="1"/>
        <v>10</v>
      </c>
      <c r="P28" s="16">
        <f t="shared" si="1"/>
        <v>0</v>
      </c>
    </row>
    <row r="29" spans="1:16" x14ac:dyDescent="0.25">
      <c r="A29" s="13"/>
      <c r="B29" s="21" t="s">
        <v>59</v>
      </c>
      <c r="C29" s="16"/>
      <c r="D29" s="16"/>
      <c r="E29" s="16"/>
      <c r="F29" s="16"/>
      <c r="G29" s="16"/>
      <c r="H29" s="16"/>
      <c r="I29" s="16"/>
      <c r="J29" s="16">
        <v>35</v>
      </c>
      <c r="K29" s="16"/>
      <c r="L29" s="16">
        <v>20</v>
      </c>
      <c r="M29" s="16"/>
      <c r="N29" s="16">
        <v>10</v>
      </c>
      <c r="O29" s="16"/>
      <c r="P29" s="16"/>
    </row>
    <row r="30" spans="1:16" x14ac:dyDescent="0.25">
      <c r="A30" s="13"/>
      <c r="B30" s="18" t="s">
        <v>60</v>
      </c>
      <c r="C30" s="16"/>
      <c r="D30" s="16"/>
      <c r="E30" s="16"/>
      <c r="F30" s="16"/>
      <c r="G30" s="16"/>
      <c r="H30" s="16">
        <v>30</v>
      </c>
      <c r="I30" s="16">
        <f t="shared" ref="I30:P30" si="2">I25+I26-I24+H29</f>
        <v>10</v>
      </c>
      <c r="J30" s="16">
        <f t="shared" si="2"/>
        <v>10</v>
      </c>
      <c r="K30" s="16">
        <f t="shared" si="2"/>
        <v>5</v>
      </c>
      <c r="L30" s="16">
        <f t="shared" si="2"/>
        <v>5</v>
      </c>
      <c r="M30" s="16">
        <f t="shared" si="2"/>
        <v>5</v>
      </c>
      <c r="N30" s="16">
        <f t="shared" si="2"/>
        <v>5</v>
      </c>
      <c r="O30" s="16">
        <f t="shared" si="2"/>
        <v>5</v>
      </c>
      <c r="P30" s="16">
        <f t="shared" si="2"/>
        <v>5</v>
      </c>
    </row>
    <row r="32" spans="1:16" x14ac:dyDescent="0.25">
      <c r="A32" s="13"/>
      <c r="B32" s="422" t="s">
        <v>47</v>
      </c>
      <c r="C32" s="422"/>
      <c r="D32" s="422"/>
      <c r="E32" s="422"/>
      <c r="F32" s="422"/>
      <c r="G32" s="422"/>
      <c r="H32" s="422"/>
      <c r="I32" s="422"/>
      <c r="J32" s="422"/>
      <c r="K32" s="422"/>
      <c r="L32" s="422"/>
      <c r="M32" s="422"/>
      <c r="N32" s="422"/>
      <c r="O32" s="422"/>
      <c r="P32" s="422"/>
    </row>
    <row r="33" spans="1:16" x14ac:dyDescent="0.25">
      <c r="A33" s="13"/>
      <c r="B33" s="18" t="s">
        <v>53</v>
      </c>
      <c r="C33" s="19">
        <v>25</v>
      </c>
      <c r="D33" s="19">
        <v>26</v>
      </c>
      <c r="E33" s="19">
        <v>27</v>
      </c>
      <c r="F33" s="19">
        <v>28</v>
      </c>
      <c r="G33" s="19">
        <v>29</v>
      </c>
      <c r="H33" s="19">
        <v>30</v>
      </c>
      <c r="I33" s="19">
        <v>31</v>
      </c>
      <c r="J33" s="19">
        <v>32</v>
      </c>
      <c r="K33" s="19">
        <v>33</v>
      </c>
      <c r="L33" s="19">
        <v>34</v>
      </c>
      <c r="M33" s="19">
        <v>35</v>
      </c>
      <c r="N33" s="19">
        <v>36</v>
      </c>
      <c r="O33" s="19">
        <v>37</v>
      </c>
      <c r="P33" s="19">
        <v>38</v>
      </c>
    </row>
    <row r="34" spans="1:16" x14ac:dyDescent="0.25">
      <c r="A34" s="13"/>
      <c r="B34" s="18" t="s">
        <v>54</v>
      </c>
      <c r="C34" s="16">
        <f>C29</f>
        <v>0</v>
      </c>
      <c r="D34" s="16">
        <f t="shared" ref="D34:P34" si="3">D29</f>
        <v>0</v>
      </c>
      <c r="E34" s="16">
        <f t="shared" si="3"/>
        <v>0</v>
      </c>
      <c r="F34" s="16">
        <f t="shared" si="3"/>
        <v>0</v>
      </c>
      <c r="G34" s="16">
        <f t="shared" si="3"/>
        <v>0</v>
      </c>
      <c r="H34" s="16">
        <f t="shared" si="3"/>
        <v>0</v>
      </c>
      <c r="I34" s="16">
        <f t="shared" si="3"/>
        <v>0</v>
      </c>
      <c r="J34" s="22">
        <f t="shared" si="3"/>
        <v>35</v>
      </c>
      <c r="K34" s="16">
        <f t="shared" si="3"/>
        <v>0</v>
      </c>
      <c r="L34" s="22">
        <f t="shared" si="3"/>
        <v>20</v>
      </c>
      <c r="M34" s="16">
        <f t="shared" si="3"/>
        <v>0</v>
      </c>
      <c r="N34" s="22">
        <f t="shared" si="3"/>
        <v>10</v>
      </c>
      <c r="O34" s="16">
        <f t="shared" si="3"/>
        <v>0</v>
      </c>
      <c r="P34" s="16">
        <f t="shared" si="3"/>
        <v>0</v>
      </c>
    </row>
    <row r="35" spans="1:16" x14ac:dyDescent="0.25">
      <c r="A35" s="13"/>
      <c r="B35" s="18" t="s">
        <v>55</v>
      </c>
      <c r="C35" s="16"/>
      <c r="D35" s="16"/>
      <c r="E35" s="16"/>
      <c r="F35" s="16"/>
      <c r="G35" s="16"/>
      <c r="H35" s="16"/>
      <c r="I35" s="16">
        <v>15</v>
      </c>
      <c r="J35" s="16">
        <f>E14</f>
        <v>15</v>
      </c>
      <c r="K35" s="16">
        <f>J40</f>
        <v>20</v>
      </c>
      <c r="L35" s="16">
        <f t="shared" ref="L35:P35" si="4">K40</f>
        <v>20</v>
      </c>
      <c r="M35" s="16">
        <f t="shared" si="4"/>
        <v>0</v>
      </c>
      <c r="N35" s="16">
        <f t="shared" si="4"/>
        <v>0</v>
      </c>
      <c r="O35" s="16">
        <f t="shared" si="4"/>
        <v>30</v>
      </c>
      <c r="P35" s="16">
        <f t="shared" si="4"/>
        <v>30</v>
      </c>
    </row>
    <row r="36" spans="1:16" x14ac:dyDescent="0.25">
      <c r="A36" s="13"/>
      <c r="B36" s="18" t="s">
        <v>56</v>
      </c>
      <c r="C36" s="16"/>
      <c r="D36" s="16"/>
      <c r="E36" s="16"/>
      <c r="F36" s="16"/>
      <c r="G36" s="16"/>
      <c r="H36" s="16"/>
      <c r="I36" s="16"/>
      <c r="J36" s="16"/>
      <c r="K36" s="16"/>
      <c r="L36" s="16"/>
      <c r="M36" s="16"/>
      <c r="N36" s="16"/>
      <c r="O36" s="16"/>
      <c r="P36" s="16"/>
    </row>
    <row r="37" spans="1:16" x14ac:dyDescent="0.25">
      <c r="A37" s="13"/>
      <c r="B37" s="18" t="s">
        <v>57</v>
      </c>
      <c r="C37" s="16"/>
      <c r="D37" s="16"/>
      <c r="E37" s="16"/>
      <c r="F37" s="16"/>
      <c r="G37" s="16"/>
      <c r="H37" s="16"/>
      <c r="I37" s="16">
        <v>0</v>
      </c>
      <c r="J37" s="16">
        <v>0</v>
      </c>
      <c r="K37" s="16">
        <v>0</v>
      </c>
      <c r="L37" s="16">
        <v>0</v>
      </c>
      <c r="M37" s="16">
        <v>0</v>
      </c>
      <c r="N37" s="16">
        <v>0</v>
      </c>
      <c r="O37" s="16">
        <v>0</v>
      </c>
      <c r="P37" s="16">
        <v>0</v>
      </c>
    </row>
    <row r="38" spans="1:16" x14ac:dyDescent="0.25">
      <c r="A38" s="13"/>
      <c r="B38" s="18" t="s">
        <v>58</v>
      </c>
      <c r="C38" s="16"/>
      <c r="D38" s="16"/>
      <c r="E38" s="16"/>
      <c r="F38" s="16"/>
      <c r="G38" s="16"/>
      <c r="H38" s="16"/>
      <c r="I38" s="16"/>
      <c r="J38" s="16">
        <f>IF(J34-J35+J37&lt;=0,0,J34-J35+J37)</f>
        <v>20</v>
      </c>
      <c r="K38" s="16">
        <f>IF(K34-K35+K37&lt;=0,0,K34-K35+K37)</f>
        <v>0</v>
      </c>
      <c r="L38" s="16">
        <f t="shared" ref="L38:P38" si="5">IF(L34-L35+L37&lt;=0,0,L34-L35+L37)</f>
        <v>0</v>
      </c>
      <c r="M38" s="16">
        <f t="shared" si="5"/>
        <v>0</v>
      </c>
      <c r="N38" s="16">
        <f t="shared" si="5"/>
        <v>10</v>
      </c>
      <c r="O38" s="16">
        <f t="shared" si="5"/>
        <v>0</v>
      </c>
      <c r="P38" s="16">
        <f t="shared" si="5"/>
        <v>0</v>
      </c>
    </row>
    <row r="39" spans="1:16" x14ac:dyDescent="0.25">
      <c r="A39" s="13"/>
      <c r="B39" s="21" t="s">
        <v>59</v>
      </c>
      <c r="C39" s="16"/>
      <c r="D39" s="16"/>
      <c r="E39" s="16"/>
      <c r="F39" s="16"/>
      <c r="G39" s="16"/>
      <c r="H39" s="16">
        <v>40</v>
      </c>
      <c r="I39" s="16"/>
      <c r="J39" s="16"/>
      <c r="K39" s="16"/>
      <c r="L39" s="16">
        <v>40</v>
      </c>
      <c r="M39" s="16"/>
      <c r="N39" s="16"/>
      <c r="O39" s="16"/>
      <c r="P39" s="16"/>
    </row>
    <row r="40" spans="1:16" x14ac:dyDescent="0.25">
      <c r="A40" s="13"/>
      <c r="B40" s="18" t="s">
        <v>60</v>
      </c>
      <c r="C40" s="16"/>
      <c r="D40" s="16"/>
      <c r="E40" s="16"/>
      <c r="F40" s="16"/>
      <c r="G40" s="16"/>
      <c r="H40" s="16"/>
      <c r="I40" s="16">
        <v>15</v>
      </c>
      <c r="J40" s="16">
        <f>J35+J36+H39-J34</f>
        <v>20</v>
      </c>
      <c r="K40" s="16">
        <f>K35+K36+I39-K34</f>
        <v>20</v>
      </c>
      <c r="L40" s="16">
        <f t="shared" ref="L40:P40" si="6">L35+L36+J39-L34</f>
        <v>0</v>
      </c>
      <c r="M40" s="16">
        <f t="shared" si="6"/>
        <v>0</v>
      </c>
      <c r="N40" s="16">
        <f t="shared" si="6"/>
        <v>30</v>
      </c>
      <c r="O40" s="16">
        <f t="shared" si="6"/>
        <v>30</v>
      </c>
      <c r="P40" s="16">
        <f t="shared" si="6"/>
        <v>30</v>
      </c>
    </row>
    <row r="42" spans="1:16" x14ac:dyDescent="0.25">
      <c r="A42" s="13"/>
      <c r="B42" s="422" t="s">
        <v>49</v>
      </c>
      <c r="C42" s="422"/>
      <c r="D42" s="422"/>
      <c r="E42" s="422"/>
      <c r="F42" s="422"/>
      <c r="G42" s="422"/>
      <c r="H42" s="422"/>
      <c r="I42" s="422"/>
      <c r="J42" s="422"/>
      <c r="K42" s="422"/>
      <c r="L42" s="422"/>
      <c r="M42" s="422"/>
      <c r="N42" s="422"/>
      <c r="O42" s="422"/>
      <c r="P42" s="422"/>
    </row>
    <row r="43" spans="1:16" x14ac:dyDescent="0.25">
      <c r="A43" s="13"/>
      <c r="B43" s="18" t="s">
        <v>53</v>
      </c>
      <c r="C43" s="19">
        <v>25</v>
      </c>
      <c r="D43" s="19">
        <v>26</v>
      </c>
      <c r="E43" s="19">
        <v>27</v>
      </c>
      <c r="F43" s="19">
        <v>28</v>
      </c>
      <c r="G43" s="19">
        <v>29</v>
      </c>
      <c r="H43" s="19">
        <v>30</v>
      </c>
      <c r="I43" s="19">
        <v>31</v>
      </c>
      <c r="J43" s="19">
        <v>32</v>
      </c>
      <c r="K43" s="19">
        <v>33</v>
      </c>
      <c r="L43" s="19">
        <v>34</v>
      </c>
      <c r="M43" s="19">
        <v>35</v>
      </c>
      <c r="N43" s="19">
        <v>36</v>
      </c>
      <c r="O43" s="19">
        <v>37</v>
      </c>
      <c r="P43" s="19">
        <v>38</v>
      </c>
    </row>
    <row r="44" spans="1:16" x14ac:dyDescent="0.25">
      <c r="A44" s="13"/>
      <c r="B44" s="18" t="s">
        <v>54</v>
      </c>
      <c r="C44" s="16">
        <f>C29*2</f>
        <v>0</v>
      </c>
      <c r="D44" s="16">
        <f t="shared" ref="D44:P44" si="7">D29*2</f>
        <v>0</v>
      </c>
      <c r="E44" s="16">
        <f t="shared" si="7"/>
        <v>0</v>
      </c>
      <c r="F44" s="16">
        <f t="shared" si="7"/>
        <v>0</v>
      </c>
      <c r="G44" s="16">
        <f t="shared" si="7"/>
        <v>0</v>
      </c>
      <c r="H44" s="16">
        <f t="shared" si="7"/>
        <v>0</v>
      </c>
      <c r="I44" s="16">
        <f t="shared" si="7"/>
        <v>0</v>
      </c>
      <c r="J44" s="22">
        <f t="shared" si="7"/>
        <v>70</v>
      </c>
      <c r="K44" s="16">
        <f t="shared" si="7"/>
        <v>0</v>
      </c>
      <c r="L44" s="22">
        <f t="shared" si="7"/>
        <v>40</v>
      </c>
      <c r="M44" s="16">
        <f t="shared" si="7"/>
        <v>0</v>
      </c>
      <c r="N44" s="22">
        <f t="shared" si="7"/>
        <v>20</v>
      </c>
      <c r="O44" s="16">
        <f t="shared" si="7"/>
        <v>0</v>
      </c>
      <c r="P44" s="16">
        <f t="shared" si="7"/>
        <v>0</v>
      </c>
    </row>
    <row r="45" spans="1:16" x14ac:dyDescent="0.25">
      <c r="A45" s="13"/>
      <c r="B45" s="18" t="s">
        <v>55</v>
      </c>
      <c r="C45" s="16"/>
      <c r="D45" s="16"/>
      <c r="E45" s="16"/>
      <c r="F45" s="16"/>
      <c r="G45" s="16"/>
      <c r="H45" s="16"/>
      <c r="I45" s="16">
        <f>E16</f>
        <v>30</v>
      </c>
      <c r="J45" s="16">
        <f>I50</f>
        <v>30</v>
      </c>
      <c r="K45" s="16">
        <f t="shared" ref="K45:P45" si="8">J50</f>
        <v>80</v>
      </c>
      <c r="L45" s="16">
        <f t="shared" si="8"/>
        <v>80</v>
      </c>
      <c r="M45" s="16">
        <f t="shared" si="8"/>
        <v>40</v>
      </c>
      <c r="N45" s="16">
        <f t="shared" si="8"/>
        <v>40</v>
      </c>
      <c r="O45" s="16">
        <f t="shared" si="8"/>
        <v>20</v>
      </c>
      <c r="P45" s="16">
        <f t="shared" si="8"/>
        <v>20</v>
      </c>
    </row>
    <row r="46" spans="1:16" x14ac:dyDescent="0.25">
      <c r="A46" s="13"/>
      <c r="B46" s="18" t="s">
        <v>56</v>
      </c>
      <c r="C46" s="16"/>
      <c r="D46" s="16"/>
      <c r="E46" s="16"/>
      <c r="F46" s="16"/>
      <c r="G46" s="16"/>
      <c r="H46" s="16"/>
      <c r="I46" s="16"/>
      <c r="J46" s="16"/>
      <c r="K46" s="16"/>
      <c r="L46" s="16"/>
      <c r="M46" s="16"/>
      <c r="N46" s="16"/>
      <c r="O46" s="16"/>
      <c r="P46" s="16"/>
    </row>
    <row r="47" spans="1:16" x14ac:dyDescent="0.25">
      <c r="A47" s="13"/>
      <c r="B47" s="18" t="s">
        <v>57</v>
      </c>
      <c r="C47" s="16"/>
      <c r="D47" s="16"/>
      <c r="E47" s="16"/>
      <c r="F47" s="16"/>
      <c r="G47" s="16"/>
      <c r="H47" s="16"/>
      <c r="I47" s="16"/>
      <c r="J47" s="16">
        <v>0</v>
      </c>
      <c r="K47" s="16">
        <v>0</v>
      </c>
      <c r="L47" s="16">
        <v>0</v>
      </c>
      <c r="M47" s="16">
        <v>0</v>
      </c>
      <c r="N47" s="16">
        <v>0</v>
      </c>
      <c r="O47" s="16">
        <v>0</v>
      </c>
      <c r="P47" s="16">
        <v>0</v>
      </c>
    </row>
    <row r="48" spans="1:16" x14ac:dyDescent="0.25">
      <c r="A48" s="13"/>
      <c r="B48" s="18" t="s">
        <v>58</v>
      </c>
      <c r="C48" s="16"/>
      <c r="D48" s="16"/>
      <c r="E48" s="16"/>
      <c r="F48" s="16"/>
      <c r="G48" s="16"/>
      <c r="H48" s="16"/>
      <c r="I48" s="16"/>
      <c r="J48" s="16">
        <f>IF(J44-J45+J47&lt;=0,0,J44-J45+J47)</f>
        <v>40</v>
      </c>
      <c r="K48" s="16">
        <f t="shared" ref="K48:P48" si="9">IF(K44-K45+K47&lt;=0,0,K44-K45+K47)</f>
        <v>0</v>
      </c>
      <c r="L48" s="16">
        <f t="shared" si="9"/>
        <v>0</v>
      </c>
      <c r="M48" s="16">
        <f t="shared" si="9"/>
        <v>0</v>
      </c>
      <c r="N48" s="16">
        <f t="shared" si="9"/>
        <v>0</v>
      </c>
      <c r="O48" s="16">
        <f t="shared" si="9"/>
        <v>0</v>
      </c>
      <c r="P48" s="16">
        <f t="shared" si="9"/>
        <v>0</v>
      </c>
    </row>
    <row r="49" spans="1:16" x14ac:dyDescent="0.25">
      <c r="A49" s="13"/>
      <c r="B49" s="21" t="s">
        <v>59</v>
      </c>
      <c r="C49" s="16"/>
      <c r="D49" s="16"/>
      <c r="E49" s="16"/>
      <c r="F49" s="16"/>
      <c r="G49" s="16">
        <v>120</v>
      </c>
      <c r="H49" s="16"/>
      <c r="I49" s="16"/>
      <c r="J49" s="16"/>
      <c r="K49" s="16"/>
      <c r="L49" s="16"/>
      <c r="M49" s="16"/>
      <c r="N49" s="16"/>
      <c r="O49" s="16"/>
      <c r="P49" s="16"/>
    </row>
    <row r="50" spans="1:16" x14ac:dyDescent="0.25">
      <c r="A50" s="13"/>
      <c r="B50" s="18" t="s">
        <v>60</v>
      </c>
      <c r="C50" s="16"/>
      <c r="D50" s="16"/>
      <c r="E50" s="16"/>
      <c r="F50" s="16"/>
      <c r="G50" s="16"/>
      <c r="H50" s="16"/>
      <c r="I50" s="16">
        <f>I45</f>
        <v>30</v>
      </c>
      <c r="J50" s="16">
        <f>J45+J46-J44+G49</f>
        <v>80</v>
      </c>
      <c r="K50" s="16">
        <f t="shared" ref="K50:P50" si="10">K45+K46-K44+H49</f>
        <v>80</v>
      </c>
      <c r="L50" s="16">
        <f t="shared" si="10"/>
        <v>40</v>
      </c>
      <c r="M50" s="16">
        <f t="shared" si="10"/>
        <v>40</v>
      </c>
      <c r="N50" s="16">
        <f t="shared" si="10"/>
        <v>20</v>
      </c>
      <c r="O50" s="16">
        <f t="shared" si="10"/>
        <v>20</v>
      </c>
      <c r="P50" s="16">
        <f t="shared" si="10"/>
        <v>20</v>
      </c>
    </row>
    <row r="51" spans="1:16" x14ac:dyDescent="0.25">
      <c r="A51" s="13"/>
      <c r="B51" s="13"/>
      <c r="C51" s="13"/>
      <c r="D51" s="13"/>
      <c r="E51" s="13"/>
      <c r="F51" s="13"/>
      <c r="G51" s="13"/>
      <c r="H51" s="13"/>
      <c r="I51" s="13"/>
      <c r="J51" s="13"/>
      <c r="K51" s="13"/>
      <c r="L51" s="13"/>
      <c r="M51" s="13"/>
      <c r="N51" s="13"/>
      <c r="O51" s="13"/>
      <c r="P51" s="13"/>
    </row>
    <row r="52" spans="1:16" x14ac:dyDescent="0.25">
      <c r="A52" s="13"/>
      <c r="B52" s="422" t="s">
        <v>52</v>
      </c>
      <c r="C52" s="422"/>
      <c r="D52" s="422"/>
      <c r="E52" s="422"/>
      <c r="F52" s="422"/>
      <c r="G52" s="422"/>
      <c r="H52" s="422"/>
      <c r="I52" s="422"/>
      <c r="J52" s="422"/>
      <c r="K52" s="422"/>
      <c r="L52" s="422"/>
      <c r="M52" s="422"/>
      <c r="N52" s="422"/>
      <c r="O52" s="422"/>
      <c r="P52" s="422"/>
    </row>
    <row r="53" spans="1:16" x14ac:dyDescent="0.25">
      <c r="A53" s="13"/>
      <c r="B53" s="18" t="s">
        <v>53</v>
      </c>
      <c r="C53" s="19">
        <v>25</v>
      </c>
      <c r="D53" s="19">
        <v>26</v>
      </c>
      <c r="E53" s="19">
        <v>27</v>
      </c>
      <c r="F53" s="19">
        <v>28</v>
      </c>
      <c r="G53" s="19">
        <v>29</v>
      </c>
      <c r="H53" s="19">
        <v>30</v>
      </c>
      <c r="I53" s="19">
        <v>31</v>
      </c>
      <c r="J53" s="19">
        <v>32</v>
      </c>
      <c r="K53" s="19">
        <v>33</v>
      </c>
      <c r="L53" s="19">
        <v>34</v>
      </c>
      <c r="M53" s="19">
        <v>35</v>
      </c>
      <c r="N53" s="19">
        <v>36</v>
      </c>
      <c r="O53" s="19">
        <v>37</v>
      </c>
      <c r="P53" s="19">
        <v>38</v>
      </c>
    </row>
    <row r="54" spans="1:16" x14ac:dyDescent="0.25">
      <c r="A54" s="13"/>
      <c r="B54" s="18" t="s">
        <v>54</v>
      </c>
      <c r="C54" s="16">
        <f>C49</f>
        <v>0</v>
      </c>
      <c r="D54" s="16">
        <f t="shared" ref="D54:P54" si="11">D49</f>
        <v>0</v>
      </c>
      <c r="E54" s="16">
        <f t="shared" si="11"/>
        <v>0</v>
      </c>
      <c r="F54" s="16">
        <f t="shared" si="11"/>
        <v>0</v>
      </c>
      <c r="G54" s="22">
        <f t="shared" si="11"/>
        <v>120</v>
      </c>
      <c r="H54" s="16">
        <f t="shared" si="11"/>
        <v>0</v>
      </c>
      <c r="I54" s="16">
        <f t="shared" si="11"/>
        <v>0</v>
      </c>
      <c r="J54" s="16">
        <f t="shared" si="11"/>
        <v>0</v>
      </c>
      <c r="K54" s="16">
        <f t="shared" si="11"/>
        <v>0</v>
      </c>
      <c r="L54" s="16">
        <f t="shared" si="11"/>
        <v>0</v>
      </c>
      <c r="M54" s="16">
        <f t="shared" si="11"/>
        <v>0</v>
      </c>
      <c r="N54" s="16">
        <f t="shared" si="11"/>
        <v>0</v>
      </c>
      <c r="O54" s="16">
        <f t="shared" si="11"/>
        <v>0</v>
      </c>
      <c r="P54" s="16">
        <f t="shared" si="11"/>
        <v>0</v>
      </c>
    </row>
    <row r="55" spans="1:16" x14ac:dyDescent="0.25">
      <c r="A55" s="13"/>
      <c r="B55" s="18" t="s">
        <v>55</v>
      </c>
      <c r="C55" s="16"/>
      <c r="D55" s="16"/>
      <c r="E55" s="16"/>
      <c r="F55" s="16">
        <f>E18</f>
        <v>370</v>
      </c>
      <c r="G55" s="16">
        <f>F60</f>
        <v>370</v>
      </c>
      <c r="H55" s="16">
        <f t="shared" ref="H55:P55" si="12">G60</f>
        <v>250</v>
      </c>
      <c r="I55" s="16">
        <f t="shared" si="12"/>
        <v>250</v>
      </c>
      <c r="J55" s="16">
        <f t="shared" si="12"/>
        <v>250</v>
      </c>
      <c r="K55" s="16">
        <f t="shared" si="12"/>
        <v>250</v>
      </c>
      <c r="L55" s="16">
        <f t="shared" si="12"/>
        <v>250</v>
      </c>
      <c r="M55" s="16">
        <f t="shared" si="12"/>
        <v>250</v>
      </c>
      <c r="N55" s="16">
        <f t="shared" si="12"/>
        <v>250</v>
      </c>
      <c r="O55" s="16">
        <f t="shared" si="12"/>
        <v>250</v>
      </c>
      <c r="P55" s="16">
        <f t="shared" si="12"/>
        <v>250</v>
      </c>
    </row>
    <row r="56" spans="1:16" x14ac:dyDescent="0.25">
      <c r="A56" s="13"/>
      <c r="B56" s="18" t="s">
        <v>56</v>
      </c>
      <c r="C56" s="16"/>
      <c r="D56" s="16"/>
      <c r="E56" s="16"/>
      <c r="F56" s="16"/>
      <c r="G56" s="16"/>
      <c r="H56" s="16"/>
      <c r="I56" s="16"/>
      <c r="J56" s="16"/>
      <c r="K56" s="16"/>
      <c r="L56" s="16"/>
      <c r="M56" s="16"/>
      <c r="N56" s="16"/>
      <c r="O56" s="16"/>
      <c r="P56" s="16"/>
    </row>
    <row r="57" spans="1:16" x14ac:dyDescent="0.25">
      <c r="A57" s="13"/>
      <c r="B57" s="18" t="s">
        <v>57</v>
      </c>
      <c r="C57" s="16"/>
      <c r="D57" s="16"/>
      <c r="E57" s="16"/>
      <c r="F57" s="16"/>
      <c r="G57" s="16">
        <v>50</v>
      </c>
      <c r="H57" s="16">
        <v>50</v>
      </c>
      <c r="I57" s="16">
        <v>50</v>
      </c>
      <c r="J57" s="16">
        <v>50</v>
      </c>
      <c r="K57" s="16">
        <v>50</v>
      </c>
      <c r="L57" s="16">
        <v>50</v>
      </c>
      <c r="M57" s="16">
        <v>50</v>
      </c>
      <c r="N57" s="16">
        <v>50</v>
      </c>
      <c r="O57" s="16">
        <v>50</v>
      </c>
      <c r="P57" s="16">
        <v>50</v>
      </c>
    </row>
    <row r="58" spans="1:16" x14ac:dyDescent="0.25">
      <c r="A58" s="13"/>
      <c r="B58" s="18" t="s">
        <v>58</v>
      </c>
      <c r="C58" s="16"/>
      <c r="D58" s="16"/>
      <c r="E58" s="16"/>
      <c r="F58" s="16"/>
      <c r="G58" s="16">
        <f>IF(G54-G55+G57&lt;=0,0,G54-G55+G57)</f>
        <v>0</v>
      </c>
      <c r="H58" s="16">
        <f t="shared" ref="H58:P58" si="13">IF(H54-H55+H57&lt;=0,0,H54-H55+H57)</f>
        <v>0</v>
      </c>
      <c r="I58" s="16">
        <f t="shared" si="13"/>
        <v>0</v>
      </c>
      <c r="J58" s="16">
        <f t="shared" si="13"/>
        <v>0</v>
      </c>
      <c r="K58" s="16">
        <f t="shared" si="13"/>
        <v>0</v>
      </c>
      <c r="L58" s="16">
        <f t="shared" si="13"/>
        <v>0</v>
      </c>
      <c r="M58" s="16">
        <f t="shared" si="13"/>
        <v>0</v>
      </c>
      <c r="N58" s="16">
        <f t="shared" si="13"/>
        <v>0</v>
      </c>
      <c r="O58" s="16">
        <f t="shared" si="13"/>
        <v>0</v>
      </c>
      <c r="P58" s="16">
        <f t="shared" si="13"/>
        <v>0</v>
      </c>
    </row>
    <row r="59" spans="1:16" x14ac:dyDescent="0.25">
      <c r="A59" s="13"/>
      <c r="B59" s="21" t="s">
        <v>59</v>
      </c>
      <c r="C59" s="16"/>
      <c r="D59" s="16"/>
      <c r="E59" s="16"/>
      <c r="F59" s="16"/>
      <c r="G59" s="16"/>
      <c r="H59" s="16"/>
      <c r="I59" s="16"/>
      <c r="J59" s="16"/>
      <c r="K59" s="16"/>
      <c r="L59" s="16"/>
      <c r="M59" s="16"/>
      <c r="N59" s="16"/>
      <c r="O59" s="16"/>
      <c r="P59" s="16"/>
    </row>
    <row r="60" spans="1:16" x14ac:dyDescent="0.25">
      <c r="A60" s="13"/>
      <c r="B60" s="18" t="s">
        <v>60</v>
      </c>
      <c r="C60" s="16"/>
      <c r="D60" s="16"/>
      <c r="E60" s="16"/>
      <c r="F60" s="16">
        <f>F55</f>
        <v>370</v>
      </c>
      <c r="G60" s="16">
        <f>G55+G56+E59-G54</f>
        <v>250</v>
      </c>
      <c r="H60" s="16">
        <f t="shared" ref="H60:P60" si="14">H55+H56+F59-H54</f>
        <v>250</v>
      </c>
      <c r="I60" s="16">
        <f t="shared" si="14"/>
        <v>250</v>
      </c>
      <c r="J60" s="16">
        <f t="shared" si="14"/>
        <v>250</v>
      </c>
      <c r="K60" s="16">
        <f t="shared" si="14"/>
        <v>250</v>
      </c>
      <c r="L60" s="16">
        <f t="shared" si="14"/>
        <v>250</v>
      </c>
      <c r="M60" s="16">
        <f t="shared" si="14"/>
        <v>250</v>
      </c>
      <c r="N60" s="16">
        <f t="shared" si="14"/>
        <v>250</v>
      </c>
      <c r="O60" s="16">
        <f t="shared" si="14"/>
        <v>250</v>
      </c>
      <c r="P60" s="16">
        <f t="shared" si="14"/>
        <v>250</v>
      </c>
    </row>
    <row r="61" spans="1:16" x14ac:dyDescent="0.25">
      <c r="A61" s="13"/>
      <c r="B61" s="13"/>
      <c r="C61" s="13"/>
      <c r="D61" s="13"/>
      <c r="E61" s="13"/>
      <c r="F61" s="13"/>
      <c r="G61" s="13"/>
      <c r="H61" s="13"/>
      <c r="I61" s="13"/>
      <c r="J61" s="13"/>
      <c r="K61" s="13"/>
      <c r="L61" s="13"/>
      <c r="M61" s="13"/>
      <c r="N61" s="13"/>
      <c r="O61" s="13"/>
      <c r="P61" s="13"/>
    </row>
    <row r="62" spans="1:16" x14ac:dyDescent="0.25">
      <c r="A62" s="13"/>
      <c r="B62" s="422" t="s">
        <v>50</v>
      </c>
      <c r="C62" s="422"/>
      <c r="D62" s="422"/>
      <c r="E62" s="422"/>
      <c r="F62" s="422"/>
      <c r="G62" s="422"/>
      <c r="H62" s="422"/>
      <c r="I62" s="422"/>
      <c r="J62" s="422"/>
      <c r="K62" s="422"/>
      <c r="L62" s="422"/>
      <c r="M62" s="422"/>
      <c r="N62" s="422"/>
      <c r="O62" s="422"/>
      <c r="P62" s="422"/>
    </row>
    <row r="63" spans="1:16" x14ac:dyDescent="0.25">
      <c r="A63" s="13"/>
      <c r="B63" s="18" t="s">
        <v>53</v>
      </c>
      <c r="C63" s="19">
        <v>25</v>
      </c>
      <c r="D63" s="19">
        <v>26</v>
      </c>
      <c r="E63" s="19">
        <v>27</v>
      </c>
      <c r="F63" s="19">
        <v>28</v>
      </c>
      <c r="G63" s="19">
        <v>29</v>
      </c>
      <c r="H63" s="19">
        <v>30</v>
      </c>
      <c r="I63" s="19">
        <v>31</v>
      </c>
      <c r="J63" s="19">
        <v>32</v>
      </c>
      <c r="K63" s="19">
        <v>33</v>
      </c>
      <c r="L63" s="19">
        <v>34</v>
      </c>
      <c r="M63" s="19">
        <v>35</v>
      </c>
      <c r="N63" s="19">
        <v>36</v>
      </c>
      <c r="O63" s="19">
        <v>37</v>
      </c>
      <c r="P63" s="19">
        <v>38</v>
      </c>
    </row>
    <row r="64" spans="1:16" x14ac:dyDescent="0.25">
      <c r="A64" s="13"/>
      <c r="B64" s="18" t="s">
        <v>54</v>
      </c>
      <c r="C64" s="16">
        <f>C49</f>
        <v>0</v>
      </c>
      <c r="D64" s="16">
        <f t="shared" ref="D64:P64" si="15">D49</f>
        <v>0</v>
      </c>
      <c r="E64" s="16">
        <f t="shared" si="15"/>
        <v>0</v>
      </c>
      <c r="F64" s="16">
        <f t="shared" si="15"/>
        <v>0</v>
      </c>
      <c r="G64" s="20">
        <f t="shared" si="15"/>
        <v>120</v>
      </c>
      <c r="H64" s="16">
        <f t="shared" si="15"/>
        <v>0</v>
      </c>
      <c r="I64" s="16">
        <f t="shared" si="15"/>
        <v>0</v>
      </c>
      <c r="J64" s="16">
        <f t="shared" si="15"/>
        <v>0</v>
      </c>
      <c r="K64" s="16">
        <f t="shared" si="15"/>
        <v>0</v>
      </c>
      <c r="L64" s="16">
        <f t="shared" si="15"/>
        <v>0</v>
      </c>
      <c r="M64" s="16">
        <f t="shared" si="15"/>
        <v>0</v>
      </c>
      <c r="N64" s="16">
        <f t="shared" si="15"/>
        <v>0</v>
      </c>
      <c r="O64" s="16">
        <f t="shared" si="15"/>
        <v>0</v>
      </c>
      <c r="P64" s="16">
        <f t="shared" si="15"/>
        <v>0</v>
      </c>
    </row>
    <row r="65" spans="1:16" x14ac:dyDescent="0.25">
      <c r="A65" s="13"/>
      <c r="B65" s="18" t="s">
        <v>55</v>
      </c>
      <c r="C65" s="16"/>
      <c r="D65" s="16"/>
      <c r="E65" s="16"/>
      <c r="F65" s="16">
        <f>E17</f>
        <v>20</v>
      </c>
      <c r="G65" s="16">
        <f>F70</f>
        <v>20</v>
      </c>
      <c r="H65" s="16">
        <f t="shared" ref="H65:P65" si="16">G70</f>
        <v>300</v>
      </c>
      <c r="I65" s="16">
        <f t="shared" si="16"/>
        <v>800</v>
      </c>
      <c r="J65" s="16">
        <f t="shared" si="16"/>
        <v>800</v>
      </c>
      <c r="K65" s="16">
        <f t="shared" si="16"/>
        <v>800</v>
      </c>
      <c r="L65" s="16">
        <f t="shared" si="16"/>
        <v>800</v>
      </c>
      <c r="M65" s="16">
        <f t="shared" si="16"/>
        <v>800</v>
      </c>
      <c r="N65" s="16">
        <f t="shared" si="16"/>
        <v>800</v>
      </c>
      <c r="O65" s="16">
        <f t="shared" si="16"/>
        <v>800</v>
      </c>
      <c r="P65" s="16">
        <f t="shared" si="16"/>
        <v>800</v>
      </c>
    </row>
    <row r="66" spans="1:16" x14ac:dyDescent="0.25">
      <c r="A66" s="13"/>
      <c r="B66" s="18" t="s">
        <v>56</v>
      </c>
      <c r="C66" s="16"/>
      <c r="D66" s="16"/>
      <c r="E66" s="16"/>
      <c r="F66" s="16"/>
      <c r="G66" s="16"/>
      <c r="H66" s="16">
        <v>500</v>
      </c>
      <c r="I66" s="16"/>
      <c r="J66" s="16"/>
      <c r="K66" s="16"/>
      <c r="L66" s="16"/>
      <c r="M66" s="16"/>
      <c r="N66" s="16"/>
      <c r="O66" s="16"/>
      <c r="P66" s="16"/>
    </row>
    <row r="67" spans="1:16" x14ac:dyDescent="0.25">
      <c r="A67" s="13"/>
      <c r="B67" s="18" t="s">
        <v>57</v>
      </c>
      <c r="C67" s="16"/>
      <c r="D67" s="16"/>
      <c r="E67" s="16"/>
      <c r="F67" s="16"/>
      <c r="G67" s="16">
        <v>20</v>
      </c>
      <c r="H67" s="16">
        <v>20</v>
      </c>
      <c r="I67" s="16">
        <v>20</v>
      </c>
      <c r="J67" s="16">
        <v>20</v>
      </c>
      <c r="K67" s="16">
        <v>20</v>
      </c>
      <c r="L67" s="16">
        <v>20</v>
      </c>
      <c r="M67" s="16">
        <v>20</v>
      </c>
      <c r="N67" s="16">
        <v>20</v>
      </c>
      <c r="O67" s="16">
        <v>20</v>
      </c>
      <c r="P67" s="16">
        <v>20</v>
      </c>
    </row>
    <row r="68" spans="1:16" x14ac:dyDescent="0.25">
      <c r="A68" s="13"/>
      <c r="B68" s="18" t="s">
        <v>58</v>
      </c>
      <c r="C68" s="16"/>
      <c r="D68" s="16"/>
      <c r="E68" s="16"/>
      <c r="F68" s="16"/>
      <c r="G68" s="16">
        <f>IF(G64-G65+G67&lt;=0,0,G64-G65+G67)</f>
        <v>120</v>
      </c>
      <c r="H68" s="16">
        <f t="shared" ref="H68:P68" si="17">IF(H64-H65+H67&lt;=0,0,H64-H65+H67)</f>
        <v>0</v>
      </c>
      <c r="I68" s="16">
        <f t="shared" si="17"/>
        <v>0</v>
      </c>
      <c r="J68" s="16">
        <f t="shared" si="17"/>
        <v>0</v>
      </c>
      <c r="K68" s="16">
        <f t="shared" si="17"/>
        <v>0</v>
      </c>
      <c r="L68" s="16">
        <f t="shared" si="17"/>
        <v>0</v>
      </c>
      <c r="M68" s="16">
        <f t="shared" si="17"/>
        <v>0</v>
      </c>
      <c r="N68" s="16">
        <f t="shared" si="17"/>
        <v>0</v>
      </c>
      <c r="O68" s="16">
        <f t="shared" si="17"/>
        <v>0</v>
      </c>
      <c r="P68" s="16">
        <f t="shared" si="17"/>
        <v>0</v>
      </c>
    </row>
    <row r="69" spans="1:16" x14ac:dyDescent="0.25">
      <c r="A69" s="13"/>
      <c r="B69" s="21" t="s">
        <v>59</v>
      </c>
      <c r="C69" s="16"/>
      <c r="D69" s="16"/>
      <c r="E69" s="16">
        <v>400</v>
      </c>
      <c r="F69" s="16"/>
      <c r="G69" s="16"/>
      <c r="H69" s="16"/>
      <c r="I69" s="16"/>
      <c r="J69" s="16"/>
      <c r="K69" s="16"/>
      <c r="L69" s="16"/>
      <c r="M69" s="16"/>
      <c r="N69" s="16"/>
      <c r="O69" s="16"/>
      <c r="P69" s="16"/>
    </row>
    <row r="70" spans="1:16" x14ac:dyDescent="0.25">
      <c r="A70" s="13"/>
      <c r="B70" s="18" t="s">
        <v>60</v>
      </c>
      <c r="C70" s="16"/>
      <c r="D70" s="16"/>
      <c r="E70" s="16"/>
      <c r="F70" s="16">
        <f>F65</f>
        <v>20</v>
      </c>
      <c r="G70" s="16">
        <f>G65+G66+E69-G64</f>
        <v>300</v>
      </c>
      <c r="H70" s="16">
        <f t="shared" ref="H70:P70" si="18">H65+H66+F69-H64</f>
        <v>800</v>
      </c>
      <c r="I70" s="16">
        <f t="shared" si="18"/>
        <v>800</v>
      </c>
      <c r="J70" s="16">
        <f t="shared" si="18"/>
        <v>800</v>
      </c>
      <c r="K70" s="16">
        <f t="shared" si="18"/>
        <v>800</v>
      </c>
      <c r="L70" s="16">
        <f t="shared" si="18"/>
        <v>800</v>
      </c>
      <c r="M70" s="16">
        <f t="shared" si="18"/>
        <v>800</v>
      </c>
      <c r="N70" s="16">
        <f t="shared" si="18"/>
        <v>800</v>
      </c>
      <c r="O70" s="16">
        <f t="shared" si="18"/>
        <v>800</v>
      </c>
      <c r="P70" s="16">
        <f t="shared" si="18"/>
        <v>800</v>
      </c>
    </row>
    <row r="71" spans="1:16" x14ac:dyDescent="0.25">
      <c r="A71" s="13"/>
      <c r="B71" s="13"/>
      <c r="C71" s="13"/>
      <c r="D71" s="13"/>
      <c r="E71" s="13"/>
      <c r="F71" s="13"/>
      <c r="G71" s="13"/>
      <c r="H71" s="13"/>
      <c r="I71" s="13"/>
      <c r="J71" s="13"/>
      <c r="K71" s="13"/>
      <c r="L71" s="13"/>
      <c r="M71" s="13"/>
      <c r="N71" s="13"/>
      <c r="O71" s="13"/>
      <c r="P71" s="13"/>
    </row>
    <row r="72" spans="1:16" x14ac:dyDescent="0.25">
      <c r="A72" s="13"/>
      <c r="B72" s="422" t="s">
        <v>48</v>
      </c>
      <c r="C72" s="422"/>
      <c r="D72" s="422"/>
      <c r="E72" s="422"/>
      <c r="F72" s="422"/>
      <c r="G72" s="422"/>
      <c r="H72" s="422"/>
      <c r="I72" s="422"/>
      <c r="J72" s="422"/>
      <c r="K72" s="422"/>
      <c r="L72" s="422"/>
      <c r="M72" s="422"/>
      <c r="N72" s="422"/>
      <c r="O72" s="422"/>
      <c r="P72" s="422"/>
    </row>
    <row r="73" spans="1:16" x14ac:dyDescent="0.25">
      <c r="A73" s="13"/>
      <c r="B73" s="18" t="s">
        <v>53</v>
      </c>
      <c r="C73" s="19">
        <v>25</v>
      </c>
      <c r="D73" s="19">
        <v>26</v>
      </c>
      <c r="E73" s="19">
        <v>27</v>
      </c>
      <c r="F73" s="19">
        <v>28</v>
      </c>
      <c r="G73" s="19">
        <v>29</v>
      </c>
      <c r="H73" s="19">
        <v>30</v>
      </c>
      <c r="I73" s="19">
        <v>31</v>
      </c>
      <c r="J73" s="19">
        <v>32</v>
      </c>
      <c r="K73" s="19">
        <v>33</v>
      </c>
      <c r="L73" s="19">
        <v>34</v>
      </c>
      <c r="M73" s="19">
        <v>35</v>
      </c>
      <c r="N73" s="19">
        <v>36</v>
      </c>
      <c r="O73" s="19">
        <v>37</v>
      </c>
      <c r="P73" s="19">
        <v>38</v>
      </c>
    </row>
    <row r="74" spans="1:16" x14ac:dyDescent="0.25">
      <c r="A74" s="13"/>
      <c r="B74" s="18" t="s">
        <v>54</v>
      </c>
      <c r="C74" s="16">
        <f>C29</f>
        <v>0</v>
      </c>
      <c r="D74" s="16">
        <f t="shared" ref="D74:P74" si="19">D29</f>
        <v>0</v>
      </c>
      <c r="E74" s="16">
        <f t="shared" si="19"/>
        <v>0</v>
      </c>
      <c r="F74" s="16">
        <f t="shared" si="19"/>
        <v>0</v>
      </c>
      <c r="G74" s="16">
        <f t="shared" si="19"/>
        <v>0</v>
      </c>
      <c r="H74" s="16">
        <f t="shared" si="19"/>
        <v>0</v>
      </c>
      <c r="I74" s="16">
        <f t="shared" si="19"/>
        <v>0</v>
      </c>
      <c r="J74" s="20">
        <f t="shared" si="19"/>
        <v>35</v>
      </c>
      <c r="K74" s="16">
        <f t="shared" si="19"/>
        <v>0</v>
      </c>
      <c r="L74" s="20">
        <f t="shared" si="19"/>
        <v>20</v>
      </c>
      <c r="M74" s="16">
        <f t="shared" si="19"/>
        <v>0</v>
      </c>
      <c r="N74" s="20">
        <f t="shared" si="19"/>
        <v>10</v>
      </c>
      <c r="O74" s="16">
        <f t="shared" si="19"/>
        <v>0</v>
      </c>
      <c r="P74" s="16">
        <f t="shared" si="19"/>
        <v>0</v>
      </c>
    </row>
    <row r="75" spans="1:16" x14ac:dyDescent="0.25">
      <c r="A75" s="13"/>
      <c r="B75" s="18" t="s">
        <v>55</v>
      </c>
      <c r="C75" s="16"/>
      <c r="D75" s="16"/>
      <c r="E75" s="16"/>
      <c r="F75" s="16"/>
      <c r="G75" s="16"/>
      <c r="H75" s="16"/>
      <c r="I75" s="16">
        <f>E15</f>
        <v>8</v>
      </c>
      <c r="J75" s="16">
        <f>I80</f>
        <v>8</v>
      </c>
      <c r="K75" s="16">
        <f t="shared" ref="K75:P75" si="20">J80</f>
        <v>73</v>
      </c>
      <c r="L75" s="16">
        <f t="shared" si="20"/>
        <v>73</v>
      </c>
      <c r="M75" s="16">
        <f t="shared" si="20"/>
        <v>53</v>
      </c>
      <c r="N75" s="16">
        <f t="shared" si="20"/>
        <v>53</v>
      </c>
      <c r="O75" s="16">
        <f t="shared" si="20"/>
        <v>43</v>
      </c>
      <c r="P75" s="16">
        <f t="shared" si="20"/>
        <v>43</v>
      </c>
    </row>
    <row r="76" spans="1:16" x14ac:dyDescent="0.25">
      <c r="A76" s="13"/>
      <c r="B76" s="18" t="s">
        <v>56</v>
      </c>
      <c r="C76" s="16"/>
      <c r="D76" s="16"/>
      <c r="E76" s="16"/>
      <c r="F76" s="16"/>
      <c r="G76" s="16"/>
      <c r="H76" s="16"/>
      <c r="I76" s="16"/>
      <c r="J76" s="16"/>
      <c r="K76" s="16"/>
      <c r="L76" s="16"/>
      <c r="M76" s="16"/>
      <c r="N76" s="16"/>
      <c r="O76" s="16"/>
      <c r="P76" s="16"/>
    </row>
    <row r="77" spans="1:16" x14ac:dyDescent="0.25">
      <c r="A77" s="13"/>
      <c r="B77" s="18" t="s">
        <v>57</v>
      </c>
      <c r="C77" s="16"/>
      <c r="D77" s="16"/>
      <c r="E77" s="16"/>
      <c r="F77" s="16"/>
      <c r="G77" s="16"/>
      <c r="H77" s="16"/>
      <c r="I77" s="16"/>
      <c r="J77" s="16">
        <v>8</v>
      </c>
      <c r="K77" s="16">
        <v>8</v>
      </c>
      <c r="L77" s="16">
        <v>8</v>
      </c>
      <c r="M77" s="16">
        <v>8</v>
      </c>
      <c r="N77" s="16">
        <v>8</v>
      </c>
      <c r="O77" s="16">
        <v>8</v>
      </c>
      <c r="P77" s="16">
        <v>8</v>
      </c>
    </row>
    <row r="78" spans="1:16" x14ac:dyDescent="0.25">
      <c r="A78" s="13"/>
      <c r="B78" s="18" t="s">
        <v>58</v>
      </c>
      <c r="C78" s="16"/>
      <c r="D78" s="16"/>
      <c r="E78" s="16"/>
      <c r="F78" s="16"/>
      <c r="G78" s="16"/>
      <c r="H78" s="16"/>
      <c r="I78" s="16"/>
      <c r="J78" s="16">
        <f>IF(J74-J75+J77&lt;=0,0,J74-J75+J77)</f>
        <v>35</v>
      </c>
      <c r="K78" s="16">
        <f t="shared" ref="K78:P78" si="21">IF(K74-K75+K77&lt;=0,0,K74-K75+K77)</f>
        <v>0</v>
      </c>
      <c r="L78" s="16">
        <f t="shared" si="21"/>
        <v>0</v>
      </c>
      <c r="M78" s="16">
        <f t="shared" si="21"/>
        <v>0</v>
      </c>
      <c r="N78" s="16">
        <f t="shared" si="21"/>
        <v>0</v>
      </c>
      <c r="O78" s="16">
        <f t="shared" si="21"/>
        <v>0</v>
      </c>
      <c r="P78" s="16">
        <f t="shared" si="21"/>
        <v>0</v>
      </c>
    </row>
    <row r="79" spans="1:16" x14ac:dyDescent="0.25">
      <c r="A79" s="13"/>
      <c r="B79" s="21" t="s">
        <v>59</v>
      </c>
      <c r="C79" s="16"/>
      <c r="D79" s="16"/>
      <c r="E79" s="16"/>
      <c r="F79" s="16"/>
      <c r="G79" s="16"/>
      <c r="H79" s="16">
        <v>100</v>
      </c>
      <c r="I79" s="16"/>
      <c r="J79" s="16"/>
      <c r="K79" s="16"/>
      <c r="L79" s="16"/>
      <c r="M79" s="16"/>
      <c r="N79" s="16"/>
      <c r="O79" s="16"/>
      <c r="P79" s="16"/>
    </row>
    <row r="80" spans="1:16" x14ac:dyDescent="0.25">
      <c r="A80" s="13"/>
      <c r="B80" s="18" t="s">
        <v>60</v>
      </c>
      <c r="C80" s="16"/>
      <c r="D80" s="16"/>
      <c r="E80" s="16"/>
      <c r="F80" s="16"/>
      <c r="G80" s="16"/>
      <c r="H80" s="16"/>
      <c r="I80" s="16">
        <f>I75</f>
        <v>8</v>
      </c>
      <c r="J80" s="16">
        <f>J75+J76+H79-J74</f>
        <v>73</v>
      </c>
      <c r="K80" s="16">
        <f t="shared" ref="K80:P80" si="22">K75+K76+I79-K74</f>
        <v>73</v>
      </c>
      <c r="L80" s="16">
        <f t="shared" si="22"/>
        <v>53</v>
      </c>
      <c r="M80" s="16">
        <f t="shared" si="22"/>
        <v>53</v>
      </c>
      <c r="N80" s="16">
        <f t="shared" si="22"/>
        <v>43</v>
      </c>
      <c r="O80" s="16">
        <f t="shared" si="22"/>
        <v>43</v>
      </c>
      <c r="P80" s="16">
        <f t="shared" si="22"/>
        <v>43</v>
      </c>
    </row>
    <row r="81" spans="1:16" x14ac:dyDescent="0.25">
      <c r="A81" s="13"/>
      <c r="B81" s="13"/>
      <c r="C81" s="13"/>
      <c r="D81" s="13"/>
      <c r="E81" s="13"/>
      <c r="F81" s="13"/>
      <c r="G81" s="13"/>
      <c r="H81" s="13"/>
      <c r="I81" s="13"/>
      <c r="J81" s="13"/>
      <c r="K81" s="13"/>
      <c r="L81" s="13"/>
      <c r="M81" s="13"/>
      <c r="N81" s="13"/>
      <c r="O81" s="13"/>
      <c r="P81" s="13"/>
    </row>
    <row r="82" spans="1:16" x14ac:dyDescent="0.25">
      <c r="A82" s="13"/>
      <c r="B82" s="422" t="s">
        <v>61</v>
      </c>
      <c r="C82" s="422"/>
      <c r="D82" s="422"/>
      <c r="E82" s="422"/>
      <c r="F82" s="422"/>
      <c r="G82" s="422"/>
      <c r="H82" s="422"/>
      <c r="I82" s="422"/>
      <c r="J82" s="422"/>
      <c r="K82" s="422"/>
      <c r="L82" s="422"/>
      <c r="M82" s="422"/>
      <c r="N82" s="422"/>
      <c r="O82" s="422"/>
      <c r="P82" s="422"/>
    </row>
    <row r="83" spans="1:16" x14ac:dyDescent="0.25">
      <c r="A83" s="13"/>
      <c r="B83" s="18" t="s">
        <v>53</v>
      </c>
      <c r="C83" s="19">
        <v>25</v>
      </c>
      <c r="D83" s="19">
        <v>26</v>
      </c>
      <c r="E83" s="19">
        <v>27</v>
      </c>
      <c r="F83" s="19">
        <v>28</v>
      </c>
      <c r="G83" s="19">
        <v>29</v>
      </c>
      <c r="H83" s="19">
        <v>30</v>
      </c>
      <c r="I83" s="19">
        <v>31</v>
      </c>
      <c r="J83" s="19">
        <v>32</v>
      </c>
      <c r="K83" s="19">
        <v>33</v>
      </c>
      <c r="L83" s="19">
        <v>34</v>
      </c>
      <c r="M83" s="19">
        <v>35</v>
      </c>
      <c r="N83" s="19">
        <v>36</v>
      </c>
      <c r="O83" s="19">
        <v>37</v>
      </c>
      <c r="P83" s="19">
        <v>38</v>
      </c>
    </row>
    <row r="84" spans="1:16" x14ac:dyDescent="0.25">
      <c r="A84" s="13"/>
      <c r="B84" s="16" t="s">
        <v>44</v>
      </c>
      <c r="C84" s="16">
        <f>C29</f>
        <v>0</v>
      </c>
      <c r="D84" s="16">
        <f t="shared" ref="D84:P84" si="23">D29</f>
        <v>0</v>
      </c>
      <c r="E84" s="16">
        <f t="shared" si="23"/>
        <v>0</v>
      </c>
      <c r="F84" s="16">
        <f t="shared" si="23"/>
        <v>0</v>
      </c>
      <c r="G84" s="16">
        <f t="shared" si="23"/>
        <v>0</v>
      </c>
      <c r="H84" s="16">
        <f t="shared" si="23"/>
        <v>0</v>
      </c>
      <c r="I84" s="16">
        <f t="shared" si="23"/>
        <v>0</v>
      </c>
      <c r="J84" s="16">
        <f t="shared" si="23"/>
        <v>35</v>
      </c>
      <c r="K84" s="16">
        <f t="shared" si="23"/>
        <v>0</v>
      </c>
      <c r="L84" s="16">
        <f t="shared" si="23"/>
        <v>20</v>
      </c>
      <c r="M84" s="16">
        <f t="shared" si="23"/>
        <v>0</v>
      </c>
      <c r="N84" s="16">
        <f t="shared" si="23"/>
        <v>10</v>
      </c>
      <c r="O84" s="16">
        <f t="shared" si="23"/>
        <v>0</v>
      </c>
      <c r="P84" s="16">
        <f t="shared" si="23"/>
        <v>0</v>
      </c>
    </row>
    <row r="85" spans="1:16" x14ac:dyDescent="0.25">
      <c r="A85" s="13"/>
      <c r="B85" s="16" t="s">
        <v>47</v>
      </c>
      <c r="C85" s="16">
        <f>C39</f>
        <v>0</v>
      </c>
      <c r="D85" s="16">
        <f t="shared" ref="D85:P85" si="24">D39</f>
        <v>0</v>
      </c>
      <c r="E85" s="16">
        <f t="shared" si="24"/>
        <v>0</v>
      </c>
      <c r="F85" s="16">
        <f t="shared" si="24"/>
        <v>0</v>
      </c>
      <c r="G85" s="16">
        <f t="shared" si="24"/>
        <v>0</v>
      </c>
      <c r="H85" s="16">
        <f t="shared" si="24"/>
        <v>40</v>
      </c>
      <c r="I85" s="16">
        <f t="shared" si="24"/>
        <v>0</v>
      </c>
      <c r="J85" s="16">
        <f t="shared" si="24"/>
        <v>0</v>
      </c>
      <c r="K85" s="16">
        <f t="shared" si="24"/>
        <v>0</v>
      </c>
      <c r="L85" s="16">
        <f t="shared" si="24"/>
        <v>40</v>
      </c>
      <c r="M85" s="16">
        <f t="shared" si="24"/>
        <v>0</v>
      </c>
      <c r="N85" s="16">
        <f t="shared" si="24"/>
        <v>0</v>
      </c>
      <c r="O85" s="16">
        <f t="shared" si="24"/>
        <v>0</v>
      </c>
      <c r="P85" s="16">
        <f t="shared" si="24"/>
        <v>0</v>
      </c>
    </row>
    <row r="86" spans="1:16" x14ac:dyDescent="0.25">
      <c r="A86" s="13"/>
      <c r="B86" s="16" t="s">
        <v>48</v>
      </c>
      <c r="C86" s="16">
        <f>C79</f>
        <v>0</v>
      </c>
      <c r="D86" s="16">
        <f t="shared" ref="D86:P86" si="25">D79</f>
        <v>0</v>
      </c>
      <c r="E86" s="16">
        <f t="shared" si="25"/>
        <v>0</v>
      </c>
      <c r="F86" s="16">
        <f t="shared" si="25"/>
        <v>0</v>
      </c>
      <c r="G86" s="16">
        <f t="shared" si="25"/>
        <v>0</v>
      </c>
      <c r="H86" s="16">
        <f t="shared" si="25"/>
        <v>100</v>
      </c>
      <c r="I86" s="16">
        <f t="shared" si="25"/>
        <v>0</v>
      </c>
      <c r="J86" s="16">
        <f t="shared" si="25"/>
        <v>0</v>
      </c>
      <c r="K86" s="16">
        <f t="shared" si="25"/>
        <v>0</v>
      </c>
      <c r="L86" s="16">
        <f t="shared" si="25"/>
        <v>0</v>
      </c>
      <c r="M86" s="16">
        <f t="shared" si="25"/>
        <v>0</v>
      </c>
      <c r="N86" s="16">
        <f t="shared" si="25"/>
        <v>0</v>
      </c>
      <c r="O86" s="16">
        <f t="shared" si="25"/>
        <v>0</v>
      </c>
      <c r="P86" s="16">
        <f t="shared" si="25"/>
        <v>0</v>
      </c>
    </row>
    <row r="87" spans="1:16" x14ac:dyDescent="0.25">
      <c r="A87" s="13"/>
      <c r="B87" s="16" t="s">
        <v>49</v>
      </c>
      <c r="C87" s="16">
        <f>C49</f>
        <v>0</v>
      </c>
      <c r="D87" s="16">
        <f t="shared" ref="D87:P87" si="26">D49</f>
        <v>0</v>
      </c>
      <c r="E87" s="16">
        <f t="shared" si="26"/>
        <v>0</v>
      </c>
      <c r="F87" s="16">
        <f t="shared" si="26"/>
        <v>0</v>
      </c>
      <c r="G87" s="16">
        <f t="shared" si="26"/>
        <v>120</v>
      </c>
      <c r="H87" s="16">
        <f t="shared" si="26"/>
        <v>0</v>
      </c>
      <c r="I87" s="16">
        <f t="shared" si="26"/>
        <v>0</v>
      </c>
      <c r="J87" s="16">
        <f t="shared" si="26"/>
        <v>0</v>
      </c>
      <c r="K87" s="16">
        <f t="shared" si="26"/>
        <v>0</v>
      </c>
      <c r="L87" s="16">
        <f t="shared" si="26"/>
        <v>0</v>
      </c>
      <c r="M87" s="16">
        <f t="shared" si="26"/>
        <v>0</v>
      </c>
      <c r="N87" s="16">
        <f t="shared" si="26"/>
        <v>0</v>
      </c>
      <c r="O87" s="16">
        <f t="shared" si="26"/>
        <v>0</v>
      </c>
      <c r="P87" s="16">
        <f t="shared" si="26"/>
        <v>0</v>
      </c>
    </row>
    <row r="88" spans="1:16" x14ac:dyDescent="0.25">
      <c r="A88" s="13"/>
      <c r="B88" s="16" t="s">
        <v>50</v>
      </c>
      <c r="C88" s="16">
        <f>C69</f>
        <v>0</v>
      </c>
      <c r="D88" s="16">
        <f t="shared" ref="D88:P88" si="27">D69</f>
        <v>0</v>
      </c>
      <c r="E88" s="16">
        <f t="shared" si="27"/>
        <v>400</v>
      </c>
      <c r="F88" s="16">
        <f t="shared" si="27"/>
        <v>0</v>
      </c>
      <c r="G88" s="16">
        <f t="shared" si="27"/>
        <v>0</v>
      </c>
      <c r="H88" s="16">
        <f t="shared" si="27"/>
        <v>0</v>
      </c>
      <c r="I88" s="16">
        <f t="shared" si="27"/>
        <v>0</v>
      </c>
      <c r="J88" s="16">
        <f t="shared" si="27"/>
        <v>0</v>
      </c>
      <c r="K88" s="16">
        <f t="shared" si="27"/>
        <v>0</v>
      </c>
      <c r="L88" s="16">
        <f t="shared" si="27"/>
        <v>0</v>
      </c>
      <c r="M88" s="16">
        <f t="shared" si="27"/>
        <v>0</v>
      </c>
      <c r="N88" s="16">
        <f t="shared" si="27"/>
        <v>0</v>
      </c>
      <c r="O88" s="16">
        <f t="shared" si="27"/>
        <v>0</v>
      </c>
      <c r="P88" s="16">
        <f t="shared" si="27"/>
        <v>0</v>
      </c>
    </row>
    <row r="89" spans="1:16" x14ac:dyDescent="0.25">
      <c r="A89" s="13"/>
      <c r="B89" s="16" t="s">
        <v>52</v>
      </c>
      <c r="C89" s="16">
        <f>C59</f>
        <v>0</v>
      </c>
      <c r="D89" s="16">
        <f t="shared" ref="D89:P89" si="28">D59</f>
        <v>0</v>
      </c>
      <c r="E89" s="16">
        <f t="shared" si="28"/>
        <v>0</v>
      </c>
      <c r="F89" s="16">
        <f t="shared" si="28"/>
        <v>0</v>
      </c>
      <c r="G89" s="16">
        <f t="shared" si="28"/>
        <v>0</v>
      </c>
      <c r="H89" s="16">
        <f t="shared" si="28"/>
        <v>0</v>
      </c>
      <c r="I89" s="16">
        <f t="shared" si="28"/>
        <v>0</v>
      </c>
      <c r="J89" s="16">
        <f t="shared" si="28"/>
        <v>0</v>
      </c>
      <c r="K89" s="16">
        <f t="shared" si="28"/>
        <v>0</v>
      </c>
      <c r="L89" s="16">
        <f t="shared" si="28"/>
        <v>0</v>
      </c>
      <c r="M89" s="16">
        <f t="shared" si="28"/>
        <v>0</v>
      </c>
      <c r="N89" s="16">
        <f t="shared" si="28"/>
        <v>0</v>
      </c>
      <c r="O89" s="16">
        <f t="shared" si="28"/>
        <v>0</v>
      </c>
      <c r="P89" s="16">
        <f t="shared" si="28"/>
        <v>0</v>
      </c>
    </row>
  </sheetData>
  <mergeCells count="9">
    <mergeCell ref="B4:P7"/>
    <mergeCell ref="B72:P72"/>
    <mergeCell ref="B82:P82"/>
    <mergeCell ref="B11:G11"/>
    <mergeCell ref="B22:P22"/>
    <mergeCell ref="B32:P32"/>
    <mergeCell ref="B42:P42"/>
    <mergeCell ref="B52:P52"/>
    <mergeCell ref="B62:P62"/>
  </mergeCells>
  <conditionalFormatting sqref="C84:P89">
    <cfRule type="cellIs" dxfId="2" priority="1" operator="greaterThan">
      <formula>0</formula>
    </cfRule>
  </conditionalFormatting>
  <conditionalFormatting sqref="H30:P30">
    <cfRule type="cellIs" dxfId="1" priority="17" operator="lessThan">
      <formula>$G$13</formula>
    </cfRule>
  </conditionalFormatting>
  <conditionalFormatting sqref="J40:P40">
    <cfRule type="cellIs" dxfId="0" priority="2" operator="lessThan">
      <formula>0</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showGridLines="0" topLeftCell="B1" zoomScale="66" zoomScaleNormal="66" workbookViewId="0">
      <selection activeCell="I34" sqref="I34"/>
    </sheetView>
  </sheetViews>
  <sheetFormatPr baseColWidth="10" defaultColWidth="10.7109375" defaultRowHeight="15" x14ac:dyDescent="0.25"/>
  <cols>
    <col min="1" max="1" width="29.7109375" customWidth="1"/>
    <col min="2" max="2" width="42.5703125" bestFit="1" customWidth="1"/>
    <col min="3" max="3" width="16.140625" bestFit="1" customWidth="1"/>
    <col min="4" max="14" width="14.42578125" bestFit="1" customWidth="1"/>
    <col min="16" max="16" width="28.28515625" bestFit="1" customWidth="1"/>
  </cols>
  <sheetData>
    <row r="1" spans="1:14" ht="15" customHeight="1" x14ac:dyDescent="0.25"/>
    <row r="2" spans="1:14" ht="21" x14ac:dyDescent="0.35">
      <c r="A2" s="23"/>
    </row>
    <row r="3" spans="1:14" ht="33.75" x14ac:dyDescent="0.25">
      <c r="A3" s="427" t="s">
        <v>62</v>
      </c>
      <c r="B3" s="427"/>
      <c r="C3" s="427"/>
      <c r="D3" s="427"/>
      <c r="E3" s="427"/>
      <c r="F3" s="427"/>
      <c r="G3" s="427"/>
      <c r="H3" s="427"/>
      <c r="I3" s="427"/>
      <c r="J3" s="427"/>
      <c r="K3" s="427"/>
      <c r="L3" s="427"/>
      <c r="M3" s="427"/>
      <c r="N3" s="427"/>
    </row>
    <row r="5" spans="1:14" ht="36.75" customHeight="1" x14ac:dyDescent="0.25">
      <c r="A5" s="428" t="s">
        <v>63</v>
      </c>
      <c r="B5" s="24" t="s">
        <v>64</v>
      </c>
      <c r="C5" s="25" t="s">
        <v>65</v>
      </c>
      <c r="D5" s="25" t="s">
        <v>66</v>
      </c>
      <c r="E5" s="25" t="s">
        <v>67</v>
      </c>
      <c r="F5" s="25" t="s">
        <v>68</v>
      </c>
      <c r="G5" s="25" t="s">
        <v>69</v>
      </c>
      <c r="H5" s="25" t="s">
        <v>70</v>
      </c>
      <c r="I5" s="25" t="s">
        <v>71</v>
      </c>
      <c r="J5" s="25" t="s">
        <v>72</v>
      </c>
      <c r="K5" s="25" t="s">
        <v>73</v>
      </c>
      <c r="L5" s="25" t="s">
        <v>74</v>
      </c>
      <c r="M5" s="25" t="s">
        <v>75</v>
      </c>
      <c r="N5" s="25" t="s">
        <v>76</v>
      </c>
    </row>
    <row r="6" spans="1:14" s="26" customFormat="1" ht="25.5" customHeight="1" x14ac:dyDescent="0.25">
      <c r="A6" s="429"/>
      <c r="B6" s="313" t="s">
        <v>77</v>
      </c>
      <c r="C6" s="314">
        <v>1500</v>
      </c>
      <c r="D6" s="314">
        <f ca="1">+C11</f>
        <v>2333</v>
      </c>
      <c r="E6" s="314">
        <f t="shared" ref="E6:N6" ca="1" si="0">+D11</f>
        <v>2687</v>
      </c>
      <c r="F6" s="314">
        <f t="shared" ca="1" si="0"/>
        <v>3450</v>
      </c>
      <c r="G6" s="314">
        <f t="shared" ca="1" si="0"/>
        <v>2097</v>
      </c>
      <c r="H6" s="314">
        <f t="shared" ca="1" si="0"/>
        <v>3116</v>
      </c>
      <c r="I6" s="314">
        <f t="shared" ca="1" si="0"/>
        <v>3133</v>
      </c>
      <c r="J6" s="314">
        <f t="shared" ca="1" si="0"/>
        <v>2881</v>
      </c>
      <c r="K6" s="314">
        <f t="shared" ca="1" si="0"/>
        <v>2870</v>
      </c>
      <c r="L6" s="314">
        <f t="shared" ca="1" si="0"/>
        <v>3033</v>
      </c>
      <c r="M6" s="314">
        <f t="shared" ca="1" si="0"/>
        <v>3451</v>
      </c>
      <c r="N6" s="314">
        <f t="shared" ca="1" si="0"/>
        <v>2551</v>
      </c>
    </row>
    <row r="7" spans="1:14" s="26" customFormat="1" ht="25.5" customHeight="1" x14ac:dyDescent="0.25">
      <c r="A7" s="429"/>
      <c r="B7" s="313" t="s">
        <v>79</v>
      </c>
      <c r="C7" s="314">
        <v>1500</v>
      </c>
      <c r="D7" s="314">
        <f>+C7+500</f>
        <v>2000</v>
      </c>
      <c r="E7" s="314">
        <f t="shared" ref="E7:N7" si="1">+D7+500</f>
        <v>2500</v>
      </c>
      <c r="F7" s="314">
        <f t="shared" si="1"/>
        <v>3000</v>
      </c>
      <c r="G7" s="314">
        <f t="shared" si="1"/>
        <v>3500</v>
      </c>
      <c r="H7" s="314">
        <f t="shared" si="1"/>
        <v>4000</v>
      </c>
      <c r="I7" s="314">
        <f t="shared" si="1"/>
        <v>4500</v>
      </c>
      <c r="J7" s="314">
        <f t="shared" si="1"/>
        <v>5000</v>
      </c>
      <c r="K7" s="314">
        <f t="shared" si="1"/>
        <v>5500</v>
      </c>
      <c r="L7" s="314">
        <f t="shared" si="1"/>
        <v>6000</v>
      </c>
      <c r="M7" s="314">
        <f t="shared" si="1"/>
        <v>6500</v>
      </c>
      <c r="N7" s="314">
        <f t="shared" si="1"/>
        <v>7000</v>
      </c>
    </row>
    <row r="8" spans="1:14" s="26" customFormat="1" ht="5.25" customHeight="1" x14ac:dyDescent="0.25">
      <c r="A8" s="429"/>
      <c r="B8" s="27"/>
      <c r="C8" s="28"/>
      <c r="D8" s="28"/>
      <c r="E8" s="28"/>
      <c r="F8" s="28"/>
      <c r="G8" s="28"/>
      <c r="H8" s="28"/>
      <c r="I8" s="28"/>
      <c r="J8" s="28"/>
      <c r="K8" s="28"/>
      <c r="L8" s="28"/>
      <c r="M8" s="28"/>
      <c r="N8" s="28"/>
    </row>
    <row r="9" spans="1:14" s="26" customFormat="1" ht="37.5" customHeight="1" x14ac:dyDescent="0.25">
      <c r="A9" s="430"/>
      <c r="B9" s="29" t="s">
        <v>80</v>
      </c>
      <c r="C9" s="30">
        <f>SUM(C6:C7)</f>
        <v>3000</v>
      </c>
      <c r="D9" s="30">
        <f t="shared" ref="D9:N9" ca="1" si="2">SUM(D6:D7)</f>
        <v>4333</v>
      </c>
      <c r="E9" s="30">
        <f t="shared" ca="1" si="2"/>
        <v>5187</v>
      </c>
      <c r="F9" s="30">
        <f t="shared" ca="1" si="2"/>
        <v>6450</v>
      </c>
      <c r="G9" s="30">
        <f t="shared" ca="1" si="2"/>
        <v>5597</v>
      </c>
      <c r="H9" s="30">
        <f t="shared" ca="1" si="2"/>
        <v>7116</v>
      </c>
      <c r="I9" s="30">
        <f t="shared" ca="1" si="2"/>
        <v>7633</v>
      </c>
      <c r="J9" s="30">
        <f t="shared" ca="1" si="2"/>
        <v>7881</v>
      </c>
      <c r="K9" s="30">
        <f t="shared" ca="1" si="2"/>
        <v>8370</v>
      </c>
      <c r="L9" s="30">
        <f t="shared" ca="1" si="2"/>
        <v>9033</v>
      </c>
      <c r="M9" s="30">
        <f t="shared" ca="1" si="2"/>
        <v>9951</v>
      </c>
      <c r="N9" s="30">
        <f t="shared" ca="1" si="2"/>
        <v>9551</v>
      </c>
    </row>
    <row r="10" spans="1:14" ht="9" customHeight="1" x14ac:dyDescent="0.3">
      <c r="A10" s="430"/>
      <c r="B10" s="31"/>
      <c r="C10" s="32"/>
      <c r="D10" s="32"/>
      <c r="E10" s="32"/>
      <c r="F10" s="32"/>
      <c r="G10" s="32"/>
      <c r="H10" s="32"/>
      <c r="I10" s="32"/>
      <c r="J10" s="32"/>
      <c r="K10" s="32"/>
      <c r="L10" s="32"/>
      <c r="M10" s="32"/>
      <c r="N10" s="32"/>
    </row>
    <row r="11" spans="1:14" ht="36.75" customHeight="1" x14ac:dyDescent="0.25">
      <c r="A11" s="430"/>
      <c r="B11" s="313" t="s">
        <v>81</v>
      </c>
      <c r="C11" s="314">
        <f ca="1">RANDBETWEEN(2000,3500)</f>
        <v>2333</v>
      </c>
      <c r="D11" s="314">
        <f t="shared" ref="D11:N11" ca="1" si="3">RANDBETWEEN(2000,3500)</f>
        <v>2687</v>
      </c>
      <c r="E11" s="314">
        <f t="shared" ca="1" si="3"/>
        <v>3450</v>
      </c>
      <c r="F11" s="314">
        <f t="shared" ca="1" si="3"/>
        <v>2097</v>
      </c>
      <c r="G11" s="314">
        <f t="shared" ca="1" si="3"/>
        <v>3116</v>
      </c>
      <c r="H11" s="314">
        <f t="shared" ca="1" si="3"/>
        <v>3133</v>
      </c>
      <c r="I11" s="314">
        <f t="shared" ca="1" si="3"/>
        <v>2881</v>
      </c>
      <c r="J11" s="314">
        <f t="shared" ca="1" si="3"/>
        <v>2870</v>
      </c>
      <c r="K11" s="314">
        <f t="shared" ca="1" si="3"/>
        <v>3033</v>
      </c>
      <c r="L11" s="314">
        <f t="shared" ca="1" si="3"/>
        <v>3451</v>
      </c>
      <c r="M11" s="314">
        <f t="shared" ca="1" si="3"/>
        <v>2551</v>
      </c>
      <c r="N11" s="314">
        <f t="shared" ca="1" si="3"/>
        <v>3332</v>
      </c>
    </row>
    <row r="12" spans="1:14" ht="10.5" customHeight="1" x14ac:dyDescent="0.25">
      <c r="A12" s="430"/>
      <c r="B12" s="33"/>
      <c r="C12" s="34"/>
      <c r="D12" s="34"/>
      <c r="E12" s="34"/>
      <c r="F12" s="34"/>
      <c r="G12" s="34"/>
      <c r="H12" s="34"/>
      <c r="I12" s="34"/>
      <c r="J12" s="34"/>
      <c r="K12" s="34"/>
      <c r="L12" s="34"/>
      <c r="M12" s="34"/>
      <c r="N12" s="34"/>
    </row>
    <row r="13" spans="1:14" ht="36.75" customHeight="1" x14ac:dyDescent="0.25">
      <c r="A13" s="431"/>
      <c r="B13" s="29" t="s">
        <v>82</v>
      </c>
      <c r="C13" s="30">
        <f ca="1">+C9-C11</f>
        <v>667</v>
      </c>
      <c r="D13" s="30">
        <f t="shared" ref="D13:N13" ca="1" si="4">+D9-D11</f>
        <v>1646</v>
      </c>
      <c r="E13" s="30">
        <f t="shared" ca="1" si="4"/>
        <v>1737</v>
      </c>
      <c r="F13" s="30">
        <f t="shared" ca="1" si="4"/>
        <v>4353</v>
      </c>
      <c r="G13" s="30">
        <f t="shared" ca="1" si="4"/>
        <v>2481</v>
      </c>
      <c r="H13" s="30">
        <f t="shared" ca="1" si="4"/>
        <v>3983</v>
      </c>
      <c r="I13" s="30">
        <f t="shared" ca="1" si="4"/>
        <v>4752</v>
      </c>
      <c r="J13" s="30">
        <f t="shared" ca="1" si="4"/>
        <v>5011</v>
      </c>
      <c r="K13" s="30">
        <f t="shared" ca="1" si="4"/>
        <v>5337</v>
      </c>
      <c r="L13" s="30">
        <f t="shared" ca="1" si="4"/>
        <v>5582</v>
      </c>
      <c r="M13" s="30">
        <f t="shared" ca="1" si="4"/>
        <v>7400</v>
      </c>
      <c r="N13" s="30">
        <f t="shared" ca="1" si="4"/>
        <v>6219</v>
      </c>
    </row>
    <row r="14" spans="1:14" x14ac:dyDescent="0.25">
      <c r="C14" s="35"/>
      <c r="D14" s="35"/>
      <c r="E14" s="35"/>
      <c r="F14" s="35"/>
      <c r="G14" s="35"/>
      <c r="H14" s="35"/>
      <c r="I14" s="35"/>
      <c r="J14" s="35"/>
      <c r="K14" s="35"/>
      <c r="L14" s="35"/>
      <c r="M14" s="35"/>
      <c r="N14" s="35"/>
    </row>
    <row r="15" spans="1:14" ht="36.75" customHeight="1" x14ac:dyDescent="0.25">
      <c r="A15" s="312" t="s">
        <v>83</v>
      </c>
      <c r="B15" s="313" t="s">
        <v>84</v>
      </c>
      <c r="C15" s="314">
        <f ca="1">RANDBETWEEN(1300,1600)</f>
        <v>1504</v>
      </c>
      <c r="D15" s="314">
        <f t="shared" ref="D15:N15" ca="1" si="5">RANDBETWEEN(1300,1600)</f>
        <v>1312</v>
      </c>
      <c r="E15" s="314">
        <f t="shared" ca="1" si="5"/>
        <v>1532</v>
      </c>
      <c r="F15" s="314">
        <f t="shared" ca="1" si="5"/>
        <v>1566</v>
      </c>
      <c r="G15" s="314">
        <f t="shared" ca="1" si="5"/>
        <v>1531</v>
      </c>
      <c r="H15" s="314">
        <f t="shared" ca="1" si="5"/>
        <v>1566</v>
      </c>
      <c r="I15" s="314">
        <f t="shared" ca="1" si="5"/>
        <v>1565</v>
      </c>
      <c r="J15" s="314">
        <f t="shared" ca="1" si="5"/>
        <v>1374</v>
      </c>
      <c r="K15" s="314">
        <f t="shared" ca="1" si="5"/>
        <v>1345</v>
      </c>
      <c r="L15" s="314">
        <f t="shared" ca="1" si="5"/>
        <v>1343</v>
      </c>
      <c r="M15" s="314">
        <f t="shared" ca="1" si="5"/>
        <v>1568</v>
      </c>
      <c r="N15" s="314">
        <f t="shared" ca="1" si="5"/>
        <v>1503</v>
      </c>
    </row>
    <row r="16" spans="1:14" x14ac:dyDescent="0.25">
      <c r="C16" s="35"/>
      <c r="D16" s="35"/>
      <c r="E16" s="35"/>
      <c r="F16" s="35"/>
      <c r="G16" s="35"/>
      <c r="H16" s="35"/>
      <c r="I16" s="35"/>
      <c r="J16" s="35"/>
      <c r="K16" s="35"/>
      <c r="L16" s="35"/>
      <c r="M16" s="35"/>
      <c r="N16" s="35"/>
    </row>
    <row r="17" spans="1:14" ht="37.5" customHeight="1" x14ac:dyDescent="0.25">
      <c r="A17" s="312" t="s">
        <v>85</v>
      </c>
      <c r="B17" s="313" t="s">
        <v>85</v>
      </c>
      <c r="C17" s="314">
        <f ca="1">(RANDBETWEEN(900,1350))</f>
        <v>1267</v>
      </c>
      <c r="D17" s="314">
        <f t="shared" ref="D17:N17" ca="1" si="6">(RANDBETWEEN(900,1350))</f>
        <v>1059</v>
      </c>
      <c r="E17" s="314">
        <f t="shared" ca="1" si="6"/>
        <v>1263</v>
      </c>
      <c r="F17" s="314">
        <f t="shared" ca="1" si="6"/>
        <v>1202</v>
      </c>
      <c r="G17" s="314">
        <f t="shared" ca="1" si="6"/>
        <v>1256</v>
      </c>
      <c r="H17" s="314">
        <f t="shared" ca="1" si="6"/>
        <v>1313</v>
      </c>
      <c r="I17" s="314">
        <f t="shared" ca="1" si="6"/>
        <v>1215</v>
      </c>
      <c r="J17" s="314">
        <f t="shared" ca="1" si="6"/>
        <v>1185</v>
      </c>
      <c r="K17" s="314">
        <f t="shared" ca="1" si="6"/>
        <v>1074</v>
      </c>
      <c r="L17" s="314">
        <f t="shared" ca="1" si="6"/>
        <v>1209</v>
      </c>
      <c r="M17" s="314">
        <f t="shared" ca="1" si="6"/>
        <v>1154</v>
      </c>
      <c r="N17" s="314">
        <f t="shared" ca="1" si="6"/>
        <v>1312</v>
      </c>
    </row>
    <row r="18" spans="1:14" ht="21.75" customHeight="1" x14ac:dyDescent="0.25">
      <c r="A18" s="33"/>
      <c r="B18" s="33"/>
      <c r="C18" s="36"/>
      <c r="D18" s="36"/>
      <c r="E18" s="36"/>
      <c r="F18" s="36"/>
      <c r="G18" s="36"/>
      <c r="H18" s="36"/>
      <c r="I18" s="36"/>
      <c r="J18" s="36"/>
      <c r="K18" s="36"/>
      <c r="L18" s="36"/>
      <c r="M18" s="36"/>
      <c r="N18" s="36"/>
    </row>
    <row r="19" spans="1:14" ht="37.5" customHeight="1" x14ac:dyDescent="0.25">
      <c r="A19" s="432" t="s">
        <v>86</v>
      </c>
      <c r="B19" s="432"/>
      <c r="C19" s="30">
        <f ca="1">+C13+C15+C17</f>
        <v>3438</v>
      </c>
      <c r="D19" s="30">
        <f t="shared" ref="D19:N19" ca="1" si="7">+D13+D15+D17</f>
        <v>4017</v>
      </c>
      <c r="E19" s="30">
        <f t="shared" ca="1" si="7"/>
        <v>4532</v>
      </c>
      <c r="F19" s="30">
        <f t="shared" ca="1" si="7"/>
        <v>7121</v>
      </c>
      <c r="G19" s="30">
        <f t="shared" ca="1" si="7"/>
        <v>5268</v>
      </c>
      <c r="H19" s="30">
        <f t="shared" ca="1" si="7"/>
        <v>6862</v>
      </c>
      <c r="I19" s="30">
        <f t="shared" ca="1" si="7"/>
        <v>7532</v>
      </c>
      <c r="J19" s="30">
        <f t="shared" ca="1" si="7"/>
        <v>7570</v>
      </c>
      <c r="K19" s="30">
        <f t="shared" ca="1" si="7"/>
        <v>7756</v>
      </c>
      <c r="L19" s="30">
        <f t="shared" ca="1" si="7"/>
        <v>8134</v>
      </c>
      <c r="M19" s="30">
        <f t="shared" ca="1" si="7"/>
        <v>10122</v>
      </c>
      <c r="N19" s="30">
        <f t="shared" ca="1" si="7"/>
        <v>9034</v>
      </c>
    </row>
    <row r="20" spans="1:14" x14ac:dyDescent="0.25">
      <c r="C20" s="35"/>
      <c r="D20" s="35"/>
      <c r="E20" s="35"/>
      <c r="F20" s="35"/>
      <c r="G20" s="35"/>
      <c r="H20" s="35"/>
      <c r="I20" s="35"/>
      <c r="J20" s="35"/>
      <c r="K20" s="35"/>
      <c r="L20" s="35"/>
      <c r="M20" s="35"/>
      <c r="N20" s="35"/>
    </row>
    <row r="21" spans="1:14" ht="28.5" customHeight="1" x14ac:dyDescent="0.25">
      <c r="A21" s="432" t="s">
        <v>87</v>
      </c>
      <c r="B21" s="432"/>
      <c r="C21" s="314">
        <f ca="1">RANDBETWEEN(3200,3500)</f>
        <v>3254</v>
      </c>
      <c r="D21" s="314">
        <f t="shared" ref="D21:N21" ca="1" si="8">RANDBETWEEN(3200,3500)</f>
        <v>3292</v>
      </c>
      <c r="E21" s="314">
        <f t="shared" ca="1" si="8"/>
        <v>3301</v>
      </c>
      <c r="F21" s="314">
        <f t="shared" ca="1" si="8"/>
        <v>3320</v>
      </c>
      <c r="G21" s="314">
        <f t="shared" ca="1" si="8"/>
        <v>3355</v>
      </c>
      <c r="H21" s="314">
        <f t="shared" ca="1" si="8"/>
        <v>3215</v>
      </c>
      <c r="I21" s="314">
        <f t="shared" ca="1" si="8"/>
        <v>3450</v>
      </c>
      <c r="J21" s="314">
        <f t="shared" ca="1" si="8"/>
        <v>3257</v>
      </c>
      <c r="K21" s="314">
        <f t="shared" ca="1" si="8"/>
        <v>3329</v>
      </c>
      <c r="L21" s="314">
        <f t="shared" ca="1" si="8"/>
        <v>3211</v>
      </c>
      <c r="M21" s="314">
        <f t="shared" ca="1" si="8"/>
        <v>3335</v>
      </c>
      <c r="N21" s="314">
        <f t="shared" ca="1" si="8"/>
        <v>3207</v>
      </c>
    </row>
    <row r="22" spans="1:14" ht="17.25" customHeight="1" x14ac:dyDescent="0.25">
      <c r="A22" s="37"/>
      <c r="B22" s="37"/>
      <c r="C22" s="38"/>
      <c r="D22" s="38"/>
      <c r="E22" s="38"/>
      <c r="F22" s="38"/>
      <c r="G22" s="38"/>
      <c r="H22" s="38"/>
      <c r="I22" s="38"/>
      <c r="J22" s="38"/>
      <c r="K22" s="38"/>
      <c r="L22" s="38"/>
      <c r="M22" s="38"/>
      <c r="N22" s="38"/>
    </row>
    <row r="23" spans="1:14" ht="24.75" customHeight="1" x14ac:dyDescent="0.25">
      <c r="A23" s="432" t="s">
        <v>88</v>
      </c>
      <c r="B23" s="432"/>
      <c r="C23" s="30">
        <f ca="1">IF(C21=0,0,C19/C21)</f>
        <v>1.0565457897971726</v>
      </c>
      <c r="D23" s="30">
        <f t="shared" ref="D23:N23" ca="1" si="9">IF(D21=0,0,D19/D21)</f>
        <v>1.2202308626974483</v>
      </c>
      <c r="E23" s="30">
        <f t="shared" ca="1" si="9"/>
        <v>1.3729172977885489</v>
      </c>
      <c r="F23" s="30">
        <f t="shared" ca="1" si="9"/>
        <v>2.144879518072289</v>
      </c>
      <c r="G23" s="30">
        <f t="shared" ca="1" si="9"/>
        <v>1.570193740685544</v>
      </c>
      <c r="H23" s="30">
        <f t="shared" ca="1" si="9"/>
        <v>2.1343701399688957</v>
      </c>
      <c r="I23" s="30">
        <f t="shared" ca="1" si="9"/>
        <v>2.1831884057971016</v>
      </c>
      <c r="J23" s="30">
        <f t="shared" ca="1" si="9"/>
        <v>2.3242247466994166</v>
      </c>
      <c r="K23" s="30">
        <f t="shared" ca="1" si="9"/>
        <v>2.3298287774106337</v>
      </c>
      <c r="L23" s="30">
        <f t="shared" ca="1" si="9"/>
        <v>2.5331672376206789</v>
      </c>
      <c r="M23" s="30">
        <f t="shared" ca="1" si="9"/>
        <v>3.0350824587706149</v>
      </c>
      <c r="N23" s="30">
        <f t="shared" ca="1" si="9"/>
        <v>2.8169628936700968</v>
      </c>
    </row>
    <row r="25" spans="1:14" ht="15.75" x14ac:dyDescent="0.25">
      <c r="A25" s="424" t="s">
        <v>89</v>
      </c>
      <c r="B25" s="39" t="s">
        <v>90</v>
      </c>
      <c r="C25" s="40">
        <f ca="1">IF(C21=0,0,(C13/C21))</f>
        <v>0.20497848801475108</v>
      </c>
      <c r="D25" s="40">
        <f t="shared" ref="D25:N25" ca="1" si="10">IF(D21=0,0,(D13/D21))</f>
        <v>0.5</v>
      </c>
      <c r="E25" s="40">
        <f t="shared" ca="1" si="10"/>
        <v>0.5262041805513481</v>
      </c>
      <c r="F25" s="40">
        <f t="shared" ca="1" si="10"/>
        <v>1.3111445783132529</v>
      </c>
      <c r="G25" s="40">
        <f t="shared" ca="1" si="10"/>
        <v>0.73949329359165428</v>
      </c>
      <c r="H25" s="40">
        <f t="shared" ca="1" si="10"/>
        <v>1.2388802488335926</v>
      </c>
      <c r="I25" s="40">
        <f t="shared" ca="1" si="10"/>
        <v>1.3773913043478261</v>
      </c>
      <c r="J25" s="40">
        <f t="shared" ca="1" si="10"/>
        <v>1.538532391771569</v>
      </c>
      <c r="K25" s="40">
        <f t="shared" ca="1" si="10"/>
        <v>1.6031841393811956</v>
      </c>
      <c r="L25" s="40">
        <f t="shared" ca="1" si="10"/>
        <v>1.7383992525692931</v>
      </c>
      <c r="M25" s="40">
        <f t="shared" ca="1" si="10"/>
        <v>2.2188905547226385</v>
      </c>
      <c r="N25" s="40">
        <f t="shared" ca="1" si="10"/>
        <v>1.9391955098222637</v>
      </c>
    </row>
    <row r="26" spans="1:14" ht="15.75" x14ac:dyDescent="0.25">
      <c r="A26" s="425"/>
      <c r="B26" s="39" t="s">
        <v>91</v>
      </c>
      <c r="C26" s="40">
        <f ca="1">IF(C21=0,0,C15/C21)</f>
        <v>0.46220036877688997</v>
      </c>
      <c r="D26" s="40">
        <f t="shared" ref="D26:N26" ca="1" si="11">IF(D21=0,0,D15/D21)</f>
        <v>0.39854191980558928</v>
      </c>
      <c r="E26" s="40">
        <f t="shared" ca="1" si="11"/>
        <v>0.46410178733717056</v>
      </c>
      <c r="F26" s="40">
        <f t="shared" ca="1" si="11"/>
        <v>0.47168674698795182</v>
      </c>
      <c r="G26" s="40">
        <f t="shared" ca="1" si="11"/>
        <v>0.45633383010432188</v>
      </c>
      <c r="H26" s="40">
        <f t="shared" ca="1" si="11"/>
        <v>0.4870917573872473</v>
      </c>
      <c r="I26" s="40">
        <f t="shared" ca="1" si="11"/>
        <v>0.45362318840579713</v>
      </c>
      <c r="J26" s="40">
        <f t="shared" ca="1" si="11"/>
        <v>0.42186060792140007</v>
      </c>
      <c r="K26" s="40">
        <f t="shared" ca="1" si="11"/>
        <v>0.40402523280264346</v>
      </c>
      <c r="L26" s="40">
        <f t="shared" ca="1" si="11"/>
        <v>0.41824976642790407</v>
      </c>
      <c r="M26" s="40">
        <f t="shared" ca="1" si="11"/>
        <v>0.47016491754122941</v>
      </c>
      <c r="N26" s="40">
        <f t="shared" ca="1" si="11"/>
        <v>0.46866230121608982</v>
      </c>
    </row>
    <row r="27" spans="1:14" ht="15.75" x14ac:dyDescent="0.25">
      <c r="A27" s="426"/>
      <c r="B27" s="39" t="s">
        <v>92</v>
      </c>
      <c r="C27" s="40">
        <f ca="1">IF(C21=0,0,C17/C21)</f>
        <v>0.38936693300553166</v>
      </c>
      <c r="D27" s="40">
        <f t="shared" ref="D27:N27" ca="1" si="12">IF(D21=0,0,D17/D21)</f>
        <v>0.32168894289185906</v>
      </c>
      <c r="E27" s="40">
        <f t="shared" ca="1" si="12"/>
        <v>0.38261132990003027</v>
      </c>
      <c r="F27" s="40">
        <f t="shared" ca="1" si="12"/>
        <v>0.36204819277108435</v>
      </c>
      <c r="G27" s="40">
        <f t="shared" ca="1" si="12"/>
        <v>0.3743666169895678</v>
      </c>
      <c r="H27" s="40">
        <f t="shared" ca="1" si="12"/>
        <v>0.408398133748056</v>
      </c>
      <c r="I27" s="40">
        <f t="shared" ca="1" si="12"/>
        <v>0.35217391304347828</v>
      </c>
      <c r="J27" s="40">
        <f t="shared" ca="1" si="12"/>
        <v>0.36383174700644766</v>
      </c>
      <c r="K27" s="40">
        <f t="shared" ca="1" si="12"/>
        <v>0.32261940522679483</v>
      </c>
      <c r="L27" s="40">
        <f t="shared" ca="1" si="12"/>
        <v>0.37651821862348178</v>
      </c>
      <c r="M27" s="40">
        <f t="shared" ca="1" si="12"/>
        <v>0.34602698650674663</v>
      </c>
      <c r="N27" s="40">
        <f t="shared" ca="1" si="12"/>
        <v>0.40910508263174306</v>
      </c>
    </row>
    <row r="32" spans="1:14" x14ac:dyDescent="0.25">
      <c r="B32" s="315" t="s">
        <v>78</v>
      </c>
    </row>
  </sheetData>
  <mergeCells count="6">
    <mergeCell ref="A25:A27"/>
    <mergeCell ref="A3:N3"/>
    <mergeCell ref="A5:A13"/>
    <mergeCell ref="A19:B19"/>
    <mergeCell ref="A21:B21"/>
    <mergeCell ref="A23:B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dimension ref="A1:V46"/>
  <sheetViews>
    <sheetView showGridLines="0" zoomScale="80" zoomScaleNormal="80" workbookViewId="0">
      <selection activeCell="A12" sqref="A12:XFD12"/>
    </sheetView>
  </sheetViews>
  <sheetFormatPr baseColWidth="10" defaultColWidth="10.7109375" defaultRowHeight="15" x14ac:dyDescent="0.25"/>
  <cols>
    <col min="1" max="1" width="14.85546875" customWidth="1"/>
    <col min="2" max="2" width="20.28515625" customWidth="1"/>
    <col min="3" max="3" width="20.140625" customWidth="1"/>
    <col min="4" max="4" width="18.28515625" bestFit="1" customWidth="1"/>
    <col min="5" max="5" width="24" customWidth="1"/>
    <col min="6" max="6" width="19.140625" customWidth="1"/>
    <col min="7" max="7" width="23.85546875" customWidth="1"/>
    <col min="8" max="8" width="35.140625" bestFit="1" customWidth="1"/>
    <col min="9" max="9" width="22.5703125" bestFit="1" customWidth="1"/>
    <col min="10" max="10" width="16.5703125" bestFit="1" customWidth="1"/>
    <col min="11" max="11" width="30.85546875" bestFit="1" customWidth="1"/>
    <col min="12" max="12" width="29.140625" bestFit="1" customWidth="1"/>
  </cols>
  <sheetData>
    <row r="1" spans="1:22" ht="15" customHeight="1" x14ac:dyDescent="0.25"/>
    <row r="2" spans="1:22" ht="41.25" customHeight="1" x14ac:dyDescent="0.25">
      <c r="A2" s="433" t="s">
        <v>730</v>
      </c>
      <c r="B2" s="433"/>
      <c r="C2" s="433"/>
      <c r="D2" s="433"/>
      <c r="E2" s="433"/>
      <c r="F2" s="433"/>
      <c r="G2" s="433"/>
      <c r="H2" s="433"/>
      <c r="I2" s="433"/>
      <c r="J2" s="433"/>
      <c r="K2" s="433"/>
      <c r="L2" s="433"/>
      <c r="M2" s="433"/>
      <c r="N2" s="433"/>
      <c r="O2" s="433"/>
      <c r="P2" s="433"/>
      <c r="Q2" s="433"/>
      <c r="R2" s="433"/>
      <c r="S2" s="433"/>
      <c r="T2" s="433"/>
      <c r="U2" s="433"/>
      <c r="V2" s="433"/>
    </row>
    <row r="3" spans="1:22" ht="15.75" thickBot="1" x14ac:dyDescent="0.3"/>
    <row r="4" spans="1:22" ht="21.75" thickTop="1" x14ac:dyDescent="0.25">
      <c r="F4" s="316" t="s">
        <v>93</v>
      </c>
      <c r="G4" s="317" t="s">
        <v>94</v>
      </c>
      <c r="H4" s="317" t="s">
        <v>95</v>
      </c>
      <c r="I4" s="317" t="s">
        <v>96</v>
      </c>
      <c r="J4" s="317" t="s">
        <v>97</v>
      </c>
      <c r="K4" s="317" t="s">
        <v>98</v>
      </c>
      <c r="L4" s="318" t="s">
        <v>99</v>
      </c>
      <c r="M4" s="41"/>
      <c r="N4" s="41"/>
      <c r="O4" s="41"/>
      <c r="P4" s="41"/>
      <c r="Q4" s="41"/>
      <c r="R4" s="41"/>
      <c r="S4" s="41"/>
    </row>
    <row r="5" spans="1:22" ht="18.75" x14ac:dyDescent="0.25">
      <c r="F5" s="319" t="s">
        <v>100</v>
      </c>
      <c r="G5" s="320">
        <v>40128</v>
      </c>
      <c r="H5" s="320">
        <f>I5+G5</f>
        <v>40133</v>
      </c>
      <c r="I5" s="321">
        <v>5</v>
      </c>
      <c r="J5" s="322">
        <f>K5/I5</f>
        <v>0.8</v>
      </c>
      <c r="K5" s="321">
        <v>4</v>
      </c>
      <c r="L5" s="323">
        <f>I5-K5</f>
        <v>1</v>
      </c>
      <c r="M5" s="42"/>
      <c r="N5" s="42"/>
      <c r="O5" s="42"/>
      <c r="P5" s="42"/>
      <c r="Q5" s="42"/>
      <c r="R5" s="42"/>
      <c r="S5" s="42"/>
    </row>
    <row r="6" spans="1:22" ht="18.75" x14ac:dyDescent="0.25">
      <c r="F6" s="319" t="s">
        <v>101</v>
      </c>
      <c r="G6" s="320">
        <f>H5+1</f>
        <v>40134</v>
      </c>
      <c r="H6" s="320">
        <f>I6+G6</f>
        <v>40137</v>
      </c>
      <c r="I6" s="321">
        <v>3</v>
      </c>
      <c r="J6" s="322">
        <f>K6/I6</f>
        <v>1</v>
      </c>
      <c r="K6" s="321">
        <v>3</v>
      </c>
      <c r="L6" s="323">
        <f t="shared" ref="L6:L19" si="0">I6-K6</f>
        <v>0</v>
      </c>
      <c r="M6" s="43"/>
      <c r="N6" s="44"/>
      <c r="O6" s="41"/>
      <c r="P6" s="41"/>
      <c r="Q6" s="43"/>
      <c r="R6" s="43"/>
      <c r="S6" s="45"/>
    </row>
    <row r="7" spans="1:22" ht="18.75" x14ac:dyDescent="0.25">
      <c r="F7" s="319" t="s">
        <v>102</v>
      </c>
      <c r="G7" s="320">
        <f>H6+1</f>
        <v>40138</v>
      </c>
      <c r="H7" s="320">
        <f t="shared" ref="H7:H19" si="1">I7+G7</f>
        <v>40142</v>
      </c>
      <c r="I7" s="321">
        <v>4</v>
      </c>
      <c r="J7" s="322">
        <f>K7/I7</f>
        <v>1</v>
      </c>
      <c r="K7" s="321">
        <v>4</v>
      </c>
      <c r="L7" s="323">
        <f t="shared" si="0"/>
        <v>0</v>
      </c>
      <c r="M7" s="43"/>
      <c r="N7" s="44"/>
      <c r="O7" s="41"/>
      <c r="P7" s="41"/>
      <c r="Q7" s="43"/>
      <c r="R7" s="43"/>
      <c r="S7" s="45"/>
    </row>
    <row r="8" spans="1:22" ht="18.75" x14ac:dyDescent="0.25">
      <c r="F8" s="319" t="s">
        <v>103</v>
      </c>
      <c r="G8" s="320">
        <f t="shared" ref="G8:G19" si="2">H7+1</f>
        <v>40143</v>
      </c>
      <c r="H8" s="320">
        <f t="shared" si="1"/>
        <v>40148</v>
      </c>
      <c r="I8" s="321">
        <v>5</v>
      </c>
      <c r="J8" s="322">
        <f>K8/I8</f>
        <v>0.4</v>
      </c>
      <c r="K8" s="321">
        <v>2</v>
      </c>
      <c r="L8" s="323">
        <f t="shared" si="0"/>
        <v>3</v>
      </c>
    </row>
    <row r="9" spans="1:22" ht="18.75" x14ac:dyDescent="0.25">
      <c r="F9" s="319" t="s">
        <v>104</v>
      </c>
      <c r="G9" s="320">
        <f t="shared" si="2"/>
        <v>40149</v>
      </c>
      <c r="H9" s="320">
        <f t="shared" si="1"/>
        <v>40155</v>
      </c>
      <c r="I9" s="321">
        <v>6</v>
      </c>
      <c r="J9" s="322">
        <f>K9/I9</f>
        <v>1</v>
      </c>
      <c r="K9" s="321">
        <v>6</v>
      </c>
      <c r="L9" s="323">
        <f t="shared" si="0"/>
        <v>0</v>
      </c>
    </row>
    <row r="10" spans="1:22" ht="18.75" x14ac:dyDescent="0.25">
      <c r="F10" s="319" t="s">
        <v>105</v>
      </c>
      <c r="G10" s="320">
        <f t="shared" si="2"/>
        <v>40156</v>
      </c>
      <c r="H10" s="320">
        <f t="shared" si="1"/>
        <v>40163</v>
      </c>
      <c r="I10" s="321">
        <v>7</v>
      </c>
      <c r="J10" s="322">
        <f t="shared" ref="J10:J19" si="3">K10/I10</f>
        <v>1</v>
      </c>
      <c r="K10" s="321">
        <v>7</v>
      </c>
      <c r="L10" s="323">
        <f t="shared" si="0"/>
        <v>0</v>
      </c>
    </row>
    <row r="11" spans="1:22" ht="18.75" x14ac:dyDescent="0.25">
      <c r="F11" s="319" t="s">
        <v>106</v>
      </c>
      <c r="G11" s="320">
        <f t="shared" si="2"/>
        <v>40164</v>
      </c>
      <c r="H11" s="320">
        <f t="shared" si="1"/>
        <v>40166</v>
      </c>
      <c r="I11" s="321">
        <v>2</v>
      </c>
      <c r="J11" s="322">
        <f t="shared" si="3"/>
        <v>1</v>
      </c>
      <c r="K11" s="321">
        <v>2</v>
      </c>
      <c r="L11" s="323">
        <f t="shared" si="0"/>
        <v>0</v>
      </c>
    </row>
    <row r="12" spans="1:22" ht="18.75" x14ac:dyDescent="0.25">
      <c r="F12" s="319" t="s">
        <v>107</v>
      </c>
      <c r="G12" s="320">
        <f t="shared" si="2"/>
        <v>40167</v>
      </c>
      <c r="H12" s="320">
        <f t="shared" si="1"/>
        <v>40168</v>
      </c>
      <c r="I12" s="321">
        <v>1</v>
      </c>
      <c r="J12" s="322">
        <f t="shared" si="3"/>
        <v>1</v>
      </c>
      <c r="K12" s="321">
        <v>1</v>
      </c>
      <c r="L12" s="323">
        <f t="shared" si="0"/>
        <v>0</v>
      </c>
    </row>
    <row r="13" spans="1:22" ht="18.75" x14ac:dyDescent="0.25">
      <c r="F13" s="319" t="s">
        <v>108</v>
      </c>
      <c r="G13" s="320">
        <f t="shared" si="2"/>
        <v>40169</v>
      </c>
      <c r="H13" s="320">
        <f t="shared" si="1"/>
        <v>40170</v>
      </c>
      <c r="I13" s="321">
        <v>1</v>
      </c>
      <c r="J13" s="322">
        <f t="shared" si="3"/>
        <v>1</v>
      </c>
      <c r="K13" s="321">
        <v>1</v>
      </c>
      <c r="L13" s="323">
        <f t="shared" si="0"/>
        <v>0</v>
      </c>
    </row>
    <row r="14" spans="1:22" ht="18.75" x14ac:dyDescent="0.25">
      <c r="F14" s="319" t="s">
        <v>109</v>
      </c>
      <c r="G14" s="320">
        <f t="shared" si="2"/>
        <v>40171</v>
      </c>
      <c r="H14" s="320">
        <f t="shared" si="1"/>
        <v>40177</v>
      </c>
      <c r="I14" s="321">
        <v>6</v>
      </c>
      <c r="J14" s="322">
        <f t="shared" si="3"/>
        <v>0.83333333333333337</v>
      </c>
      <c r="K14" s="321">
        <v>5</v>
      </c>
      <c r="L14" s="323">
        <f t="shared" si="0"/>
        <v>1</v>
      </c>
    </row>
    <row r="15" spans="1:22" ht="18.75" x14ac:dyDescent="0.25">
      <c r="F15" s="319" t="s">
        <v>110</v>
      </c>
      <c r="G15" s="320">
        <f t="shared" si="2"/>
        <v>40178</v>
      </c>
      <c r="H15" s="320">
        <f t="shared" si="1"/>
        <v>40184</v>
      </c>
      <c r="I15" s="321">
        <v>6</v>
      </c>
      <c r="J15" s="322">
        <f t="shared" si="3"/>
        <v>0.83333333333333337</v>
      </c>
      <c r="K15" s="321">
        <v>5</v>
      </c>
      <c r="L15" s="323">
        <f t="shared" si="0"/>
        <v>1</v>
      </c>
    </row>
    <row r="16" spans="1:22" ht="18.75" x14ac:dyDescent="0.25">
      <c r="F16" s="319" t="s">
        <v>111</v>
      </c>
      <c r="G16" s="320">
        <f t="shared" si="2"/>
        <v>40185</v>
      </c>
      <c r="H16" s="320">
        <f t="shared" si="1"/>
        <v>40188</v>
      </c>
      <c r="I16" s="321">
        <v>3</v>
      </c>
      <c r="J16" s="322">
        <f t="shared" si="3"/>
        <v>0.66666666666666663</v>
      </c>
      <c r="K16" s="321">
        <v>2</v>
      </c>
      <c r="L16" s="323">
        <f t="shared" si="0"/>
        <v>1</v>
      </c>
    </row>
    <row r="17" spans="6:12" ht="18.75" x14ac:dyDescent="0.25">
      <c r="F17" s="319" t="s">
        <v>112</v>
      </c>
      <c r="G17" s="320">
        <f t="shared" si="2"/>
        <v>40189</v>
      </c>
      <c r="H17" s="320">
        <f t="shared" si="1"/>
        <v>40192</v>
      </c>
      <c r="I17" s="321">
        <v>3</v>
      </c>
      <c r="J17" s="322">
        <f t="shared" si="3"/>
        <v>0.66666666666666663</v>
      </c>
      <c r="K17" s="321">
        <v>2</v>
      </c>
      <c r="L17" s="323">
        <f t="shared" si="0"/>
        <v>1</v>
      </c>
    </row>
    <row r="18" spans="6:12" ht="18.75" x14ac:dyDescent="0.25">
      <c r="F18" s="319" t="s">
        <v>113</v>
      </c>
      <c r="G18" s="320">
        <f t="shared" si="2"/>
        <v>40193</v>
      </c>
      <c r="H18" s="320">
        <f t="shared" si="1"/>
        <v>40199</v>
      </c>
      <c r="I18" s="321">
        <v>6</v>
      </c>
      <c r="J18" s="322">
        <f t="shared" si="3"/>
        <v>1</v>
      </c>
      <c r="K18" s="321">
        <v>6</v>
      </c>
      <c r="L18" s="323">
        <f t="shared" si="0"/>
        <v>0</v>
      </c>
    </row>
    <row r="19" spans="6:12" ht="19.5" thickBot="1" x14ac:dyDescent="0.3">
      <c r="F19" s="324" t="s">
        <v>114</v>
      </c>
      <c r="G19" s="325">
        <f t="shared" si="2"/>
        <v>40200</v>
      </c>
      <c r="H19" s="325">
        <f t="shared" si="1"/>
        <v>40207</v>
      </c>
      <c r="I19" s="326">
        <v>7</v>
      </c>
      <c r="J19" s="322">
        <f t="shared" si="3"/>
        <v>1</v>
      </c>
      <c r="K19" s="326">
        <v>7</v>
      </c>
      <c r="L19" s="327">
        <f t="shared" si="0"/>
        <v>0</v>
      </c>
    </row>
    <row r="20" spans="6:12" ht="15.75" thickTop="1" x14ac:dyDescent="0.25"/>
    <row r="45" customFormat="1" x14ac:dyDescent="0.25"/>
    <row r="46" customFormat="1" x14ac:dyDescent="0.25"/>
  </sheetData>
  <mergeCells count="1">
    <mergeCell ref="A2:V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O39"/>
  <sheetViews>
    <sheetView topLeftCell="A4" workbookViewId="0">
      <selection activeCell="R1" sqref="R1"/>
    </sheetView>
  </sheetViews>
  <sheetFormatPr baseColWidth="10" defaultColWidth="10.7109375" defaultRowHeight="15" x14ac:dyDescent="0.25"/>
  <cols>
    <col min="3" max="3" width="32.140625" customWidth="1"/>
  </cols>
  <sheetData>
    <row r="2" spans="2:15" x14ac:dyDescent="0.25">
      <c r="B2" s="464" t="s">
        <v>115</v>
      </c>
      <c r="C2" s="464"/>
      <c r="D2" s="464"/>
      <c r="E2" s="464"/>
      <c r="F2" s="464"/>
      <c r="G2" s="464"/>
      <c r="H2" s="464"/>
      <c r="I2" s="464"/>
      <c r="J2" s="464"/>
      <c r="K2" s="464"/>
      <c r="L2" s="464"/>
      <c r="M2" s="464"/>
      <c r="N2" s="464"/>
      <c r="O2" s="464"/>
    </row>
    <row r="3" spans="2:15" x14ac:dyDescent="0.25">
      <c r="B3" s="460"/>
      <c r="C3" s="468"/>
      <c r="D3" s="469" t="s">
        <v>116</v>
      </c>
      <c r="E3" s="470"/>
      <c r="F3" s="470"/>
      <c r="G3" s="470"/>
      <c r="H3" s="470"/>
      <c r="I3" s="470"/>
      <c r="J3" s="470"/>
      <c r="K3" s="470"/>
      <c r="L3" s="470"/>
      <c r="M3" s="470"/>
      <c r="N3" s="470"/>
      <c r="O3" s="471"/>
    </row>
    <row r="4" spans="2:15" x14ac:dyDescent="0.25">
      <c r="B4" s="462"/>
      <c r="C4" s="463"/>
      <c r="D4" s="472" t="s">
        <v>117</v>
      </c>
      <c r="E4" s="472"/>
      <c r="F4" s="472" t="s">
        <v>118</v>
      </c>
      <c r="G4" s="472"/>
      <c r="H4" s="472" t="s">
        <v>119</v>
      </c>
      <c r="I4" s="472"/>
      <c r="J4" s="472" t="s">
        <v>120</v>
      </c>
      <c r="K4" s="472"/>
      <c r="L4" s="472" t="s">
        <v>121</v>
      </c>
      <c r="M4" s="472"/>
      <c r="N4" s="472" t="s">
        <v>122</v>
      </c>
      <c r="O4" s="472"/>
    </row>
    <row r="5" spans="2:15" x14ac:dyDescent="0.25">
      <c r="B5" s="459" t="s">
        <v>123</v>
      </c>
      <c r="C5" s="466"/>
      <c r="D5" s="467">
        <v>100</v>
      </c>
      <c r="E5" s="467"/>
      <c r="F5" s="467">
        <v>150</v>
      </c>
      <c r="G5" s="467"/>
      <c r="H5" s="467">
        <v>170</v>
      </c>
      <c r="I5" s="467"/>
      <c r="J5" s="467">
        <v>120</v>
      </c>
      <c r="K5" s="467"/>
      <c r="L5" s="467">
        <v>100</v>
      </c>
      <c r="M5" s="467"/>
      <c r="N5" s="467">
        <v>90</v>
      </c>
      <c r="O5" s="467"/>
    </row>
    <row r="6" spans="2:15" x14ac:dyDescent="0.25">
      <c r="B6" s="459" t="s">
        <v>124</v>
      </c>
      <c r="C6" s="466"/>
      <c r="D6" s="465">
        <v>20</v>
      </c>
      <c r="E6" s="465"/>
      <c r="F6" s="465">
        <v>20</v>
      </c>
      <c r="G6" s="465"/>
      <c r="H6" s="465">
        <v>20</v>
      </c>
      <c r="I6" s="465"/>
      <c r="J6" s="465">
        <v>20</v>
      </c>
      <c r="K6" s="465"/>
      <c r="L6" s="465">
        <v>20</v>
      </c>
      <c r="M6" s="465"/>
      <c r="N6" s="465">
        <v>20</v>
      </c>
      <c r="O6" s="465"/>
    </row>
    <row r="7" spans="2:15" x14ac:dyDescent="0.25">
      <c r="B7" s="459" t="s">
        <v>125</v>
      </c>
      <c r="C7" s="466"/>
      <c r="D7" s="465">
        <v>25</v>
      </c>
      <c r="E7" s="465"/>
      <c r="F7" s="465">
        <v>25</v>
      </c>
      <c r="G7" s="465"/>
      <c r="H7" s="465">
        <v>25</v>
      </c>
      <c r="I7" s="465"/>
      <c r="J7" s="465">
        <v>25</v>
      </c>
      <c r="K7" s="465"/>
      <c r="L7" s="465">
        <v>25</v>
      </c>
      <c r="M7" s="465"/>
      <c r="N7" s="465">
        <v>25</v>
      </c>
      <c r="O7" s="465"/>
    </row>
    <row r="8" spans="2:15" x14ac:dyDescent="0.25">
      <c r="B8" s="459" t="s">
        <v>126</v>
      </c>
      <c r="C8" s="466"/>
      <c r="D8" s="467">
        <v>60</v>
      </c>
      <c r="E8" s="467"/>
      <c r="F8" s="467">
        <v>60</v>
      </c>
      <c r="G8" s="467"/>
      <c r="H8" s="467">
        <v>60</v>
      </c>
      <c r="I8" s="467"/>
      <c r="J8" s="467">
        <v>60</v>
      </c>
      <c r="K8" s="467"/>
      <c r="L8" s="467">
        <v>60</v>
      </c>
      <c r="M8" s="467"/>
      <c r="N8" s="467">
        <v>60</v>
      </c>
      <c r="O8" s="467"/>
    </row>
    <row r="9" spans="2:15" x14ac:dyDescent="0.25">
      <c r="B9" s="459" t="s">
        <v>127</v>
      </c>
      <c r="C9" s="466"/>
      <c r="D9" s="465">
        <v>5</v>
      </c>
      <c r="E9" s="465"/>
      <c r="F9" s="465">
        <v>5</v>
      </c>
      <c r="G9" s="465"/>
      <c r="H9" s="465">
        <v>5</v>
      </c>
      <c r="I9" s="465"/>
      <c r="J9" s="465">
        <v>5</v>
      </c>
      <c r="K9" s="465"/>
      <c r="L9" s="465">
        <v>5</v>
      </c>
      <c r="M9" s="465"/>
      <c r="N9" s="465">
        <v>5</v>
      </c>
      <c r="O9" s="465"/>
    </row>
    <row r="10" spans="2:15" x14ac:dyDescent="0.25">
      <c r="B10" s="459" t="s">
        <v>128</v>
      </c>
      <c r="C10" s="466"/>
      <c r="D10" s="467">
        <v>3</v>
      </c>
      <c r="E10" s="467"/>
      <c r="F10" s="467">
        <v>3</v>
      </c>
      <c r="G10" s="467"/>
      <c r="H10" s="467">
        <v>3</v>
      </c>
      <c r="I10" s="467"/>
      <c r="J10" s="467">
        <v>3</v>
      </c>
      <c r="K10" s="467"/>
      <c r="L10" s="467">
        <v>3</v>
      </c>
      <c r="M10" s="467"/>
      <c r="N10" s="467">
        <v>3</v>
      </c>
      <c r="O10" s="467"/>
    </row>
    <row r="11" spans="2:15" x14ac:dyDescent="0.25">
      <c r="B11" s="459" t="s">
        <v>129</v>
      </c>
      <c r="C11" s="466"/>
      <c r="D11" s="465"/>
      <c r="E11" s="465"/>
      <c r="F11" s="465"/>
      <c r="G11" s="465"/>
      <c r="H11" s="465"/>
      <c r="I11" s="465"/>
      <c r="J11" s="465"/>
      <c r="K11" s="465"/>
      <c r="L11" s="465"/>
      <c r="M11" s="465"/>
      <c r="N11" s="465"/>
      <c r="O11" s="465"/>
    </row>
    <row r="12" spans="2:15" x14ac:dyDescent="0.25">
      <c r="B12" s="459" t="s">
        <v>130</v>
      </c>
      <c r="C12" s="466"/>
      <c r="D12" s="465">
        <v>10</v>
      </c>
      <c r="E12" s="465"/>
      <c r="F12" s="465">
        <v>10</v>
      </c>
      <c r="G12" s="465"/>
      <c r="H12" s="465">
        <v>10</v>
      </c>
      <c r="I12" s="465"/>
      <c r="J12" s="465">
        <v>10</v>
      </c>
      <c r="K12" s="465"/>
      <c r="L12" s="465">
        <v>10</v>
      </c>
      <c r="M12" s="465"/>
      <c r="N12" s="465">
        <v>10</v>
      </c>
      <c r="O12" s="465"/>
    </row>
    <row r="13" spans="2:15" x14ac:dyDescent="0.25">
      <c r="B13" s="460"/>
      <c r="C13" s="461"/>
      <c r="D13" s="457"/>
      <c r="E13" s="457"/>
      <c r="F13" s="457"/>
      <c r="G13" s="457"/>
      <c r="H13" s="457"/>
      <c r="I13" s="457"/>
      <c r="J13" s="457"/>
      <c r="K13" s="457"/>
      <c r="L13" s="457"/>
      <c r="M13" s="457"/>
      <c r="N13" s="457"/>
      <c r="O13" s="458"/>
    </row>
    <row r="14" spans="2:15" x14ac:dyDescent="0.25">
      <c r="B14" s="460"/>
      <c r="C14" s="461"/>
      <c r="D14" s="464" t="str">
        <f>D4</f>
        <v>A</v>
      </c>
      <c r="E14" s="464"/>
      <c r="F14" s="464" t="str">
        <f>F4</f>
        <v>B</v>
      </c>
      <c r="G14" s="464"/>
      <c r="H14" s="464" t="str">
        <f t="shared" ref="H14" si="0">H4</f>
        <v>C</v>
      </c>
      <c r="I14" s="464"/>
      <c r="J14" s="464" t="str">
        <f t="shared" ref="J14" si="1">J4</f>
        <v>D</v>
      </c>
      <c r="K14" s="464"/>
      <c r="L14" s="464" t="str">
        <f t="shared" ref="L14" si="2">L4</f>
        <v>E</v>
      </c>
      <c r="M14" s="464"/>
      <c r="N14" s="464" t="str">
        <f t="shared" ref="N14" si="3">N4</f>
        <v>F</v>
      </c>
      <c r="O14" s="464"/>
    </row>
    <row r="15" spans="2:15" x14ac:dyDescent="0.25">
      <c r="B15" s="462"/>
      <c r="C15" s="463"/>
      <c r="D15" s="46" t="s">
        <v>131</v>
      </c>
      <c r="E15" s="46" t="s">
        <v>132</v>
      </c>
      <c r="F15" s="46" t="s">
        <v>131</v>
      </c>
      <c r="G15" s="46" t="s">
        <v>132</v>
      </c>
      <c r="H15" s="46" t="s">
        <v>131</v>
      </c>
      <c r="I15" s="46" t="s">
        <v>132</v>
      </c>
      <c r="J15" s="46" t="s">
        <v>131</v>
      </c>
      <c r="K15" s="46" t="s">
        <v>132</v>
      </c>
      <c r="L15" s="46" t="s">
        <v>131</v>
      </c>
      <c r="M15" s="46" t="s">
        <v>132</v>
      </c>
      <c r="N15" s="46" t="s">
        <v>131</v>
      </c>
      <c r="O15" s="46" t="s">
        <v>132</v>
      </c>
    </row>
    <row r="16" spans="2:15" x14ac:dyDescent="0.25">
      <c r="B16" s="459" t="s">
        <v>133</v>
      </c>
      <c r="C16" s="459"/>
      <c r="D16" s="438">
        <f>(D5*D6)</f>
        <v>2000</v>
      </c>
      <c r="E16" s="438"/>
      <c r="F16" s="438">
        <f>(F5*F6)</f>
        <v>3000</v>
      </c>
      <c r="G16" s="438"/>
      <c r="H16" s="438">
        <f t="shared" ref="H16" si="4">(H5*H6)</f>
        <v>3400</v>
      </c>
      <c r="I16" s="438"/>
      <c r="J16" s="438">
        <f t="shared" ref="J16" si="5">(J5*J6)</f>
        <v>2400</v>
      </c>
      <c r="K16" s="438"/>
      <c r="L16" s="438">
        <f t="shared" ref="L16" si="6">(L5*L6)</f>
        <v>2000</v>
      </c>
      <c r="M16" s="438"/>
      <c r="N16" s="438">
        <f t="shared" ref="N16" si="7">(N5*N6)</f>
        <v>1800</v>
      </c>
      <c r="O16" s="438"/>
    </row>
    <row r="17" spans="2:15" x14ac:dyDescent="0.25">
      <c r="B17" s="47"/>
      <c r="C17" s="48"/>
      <c r="D17" s="457"/>
      <c r="E17" s="457"/>
      <c r="F17" s="457"/>
      <c r="G17" s="457"/>
      <c r="H17" s="457"/>
      <c r="I17" s="457"/>
      <c r="J17" s="457"/>
      <c r="K17" s="457"/>
      <c r="L17" s="457"/>
      <c r="M17" s="457"/>
      <c r="N17" s="457"/>
      <c r="O17" s="458"/>
    </row>
    <row r="18" spans="2:15" x14ac:dyDescent="0.25">
      <c r="B18" s="459" t="s">
        <v>134</v>
      </c>
      <c r="C18" s="459"/>
      <c r="D18" s="49">
        <f>(D7*D8)</f>
        <v>1500</v>
      </c>
      <c r="E18" s="50">
        <f>IFERROR((D16/D18)," ")</f>
        <v>1.3333333333333333</v>
      </c>
      <c r="F18" s="49">
        <f t="shared" ref="F18" si="8">(F7*F8)</f>
        <v>1500</v>
      </c>
      <c r="G18" s="50">
        <f t="shared" ref="G18" si="9">IFERROR((F16/F18)," ")</f>
        <v>2</v>
      </c>
      <c r="H18" s="49">
        <f t="shared" ref="H18" si="10">(H7*H8)</f>
        <v>1500</v>
      </c>
      <c r="I18" s="50">
        <f t="shared" ref="I18" si="11">IFERROR((H16/H18)," ")</f>
        <v>2.2666666666666666</v>
      </c>
      <c r="J18" s="49">
        <f t="shared" ref="J18" si="12">(J7*J8)</f>
        <v>1500</v>
      </c>
      <c r="K18" s="50">
        <f t="shared" ref="K18" si="13">IFERROR((J16/J18)," ")</f>
        <v>1.6</v>
      </c>
      <c r="L18" s="49">
        <f t="shared" ref="L18" si="14">(L7*L8)</f>
        <v>1500</v>
      </c>
      <c r="M18" s="50">
        <f t="shared" ref="M18" si="15">IFERROR((L16/L18)," ")</f>
        <v>1.3333333333333333</v>
      </c>
      <c r="N18" s="49">
        <f t="shared" ref="N18" si="16">(N7*N8)</f>
        <v>1500</v>
      </c>
      <c r="O18" s="50">
        <f t="shared" ref="O18" si="17">IFERROR((N16/N18)," ")</f>
        <v>1.2</v>
      </c>
    </row>
    <row r="19" spans="2:15" x14ac:dyDescent="0.25">
      <c r="B19" s="459" t="s">
        <v>135</v>
      </c>
      <c r="C19" s="459"/>
      <c r="D19" s="49">
        <f>(D9*D10)</f>
        <v>15</v>
      </c>
      <c r="E19" s="50">
        <f>IFERROR((D16/D19)," ")</f>
        <v>133.33333333333334</v>
      </c>
      <c r="F19" s="49">
        <f t="shared" ref="F19" si="18">(F9*F10)</f>
        <v>15</v>
      </c>
      <c r="G19" s="50">
        <f t="shared" ref="G19" si="19">IFERROR((F16/F19)," ")</f>
        <v>200</v>
      </c>
      <c r="H19" s="49">
        <f t="shared" ref="H19" si="20">(H9*H10)</f>
        <v>15</v>
      </c>
      <c r="I19" s="50">
        <f t="shared" ref="I19" si="21">IFERROR((H16/H19)," ")</f>
        <v>226.66666666666666</v>
      </c>
      <c r="J19" s="49">
        <f t="shared" ref="J19" si="22">(J9*J10)</f>
        <v>15</v>
      </c>
      <c r="K19" s="50">
        <f t="shared" ref="K19" si="23">IFERROR((J16/J19)," ")</f>
        <v>160</v>
      </c>
      <c r="L19" s="49">
        <f t="shared" ref="L19" si="24">(L9*L10)</f>
        <v>15</v>
      </c>
      <c r="M19" s="50">
        <f t="shared" ref="M19" si="25">IFERROR((L16/L19)," ")</f>
        <v>133.33333333333334</v>
      </c>
      <c r="N19" s="49">
        <f t="shared" ref="N19" si="26">(N9*N10)</f>
        <v>15</v>
      </c>
      <c r="O19" s="50">
        <f t="shared" ref="O19" si="27">IFERROR((N16/N19)," ")</f>
        <v>120</v>
      </c>
    </row>
    <row r="20" spans="2:15" x14ac:dyDescent="0.25">
      <c r="B20" s="459" t="s">
        <v>136</v>
      </c>
      <c r="C20" s="459"/>
      <c r="D20" s="449">
        <f>IFERROR((D16/(D18+D19+D12+D11))," ")</f>
        <v>1.3114754098360655</v>
      </c>
      <c r="E20" s="449"/>
      <c r="F20" s="449">
        <f t="shared" ref="F20" si="28">IFERROR((F16/(F18+F19+F12+F11))," ")</f>
        <v>1.9672131147540983</v>
      </c>
      <c r="G20" s="449"/>
      <c r="H20" s="449">
        <f t="shared" ref="H20" si="29">IFERROR((H16/(H18+H19+H12+H11))," ")</f>
        <v>2.2295081967213113</v>
      </c>
      <c r="I20" s="449"/>
      <c r="J20" s="449">
        <f t="shared" ref="J20" si="30">IFERROR((J16/(J18+J19+J12+J11))," ")</f>
        <v>1.5737704918032787</v>
      </c>
      <c r="K20" s="449"/>
      <c r="L20" s="449">
        <f t="shared" ref="L20" si="31">IFERROR((L16/(L18+L19+L12+L11))," ")</f>
        <v>1.3114754098360655</v>
      </c>
      <c r="M20" s="449"/>
      <c r="N20" s="449">
        <f t="shared" ref="N20" si="32">IFERROR((N16/(N18+N19+N12+N11))," ")</f>
        <v>1.180327868852459</v>
      </c>
      <c r="O20" s="449"/>
    </row>
    <row r="21" spans="2:15" x14ac:dyDescent="0.25">
      <c r="B21" s="47"/>
      <c r="C21" s="51"/>
      <c r="D21" s="450"/>
      <c r="E21" s="450"/>
      <c r="F21" s="450"/>
      <c r="G21" s="450"/>
      <c r="H21" s="450"/>
      <c r="I21" s="450"/>
      <c r="J21" s="450"/>
      <c r="K21" s="450"/>
      <c r="L21" s="450"/>
      <c r="M21" s="450"/>
      <c r="N21" s="450"/>
      <c r="O21" s="451"/>
    </row>
    <row r="22" spans="2:15" x14ac:dyDescent="0.25">
      <c r="B22" s="452" t="s">
        <v>137</v>
      </c>
      <c r="C22" s="452"/>
      <c r="D22" s="452"/>
      <c r="E22" s="452"/>
      <c r="F22" s="453">
        <f>IFERROR((((F20-D20)/D20))," ")</f>
        <v>0.50000000000000011</v>
      </c>
      <c r="G22" s="454"/>
      <c r="H22" s="453">
        <f t="shared" ref="H22" si="33">IFERROR((((H20-F20)/F20))," ")</f>
        <v>0.13333333333333325</v>
      </c>
      <c r="I22" s="454"/>
      <c r="J22" s="453">
        <f t="shared" ref="J22" si="34">IFERROR((((J20-H20)/H20))," ")</f>
        <v>-0.29411764705882348</v>
      </c>
      <c r="K22" s="454"/>
      <c r="L22" s="453">
        <f t="shared" ref="L22" si="35">IFERROR((((L20-J20)/J20))," ")</f>
        <v>-0.16666666666666671</v>
      </c>
      <c r="M22" s="454"/>
      <c r="N22" s="453">
        <f t="shared" ref="N22" si="36">IFERROR((((N20-L20)/L20))," ")</f>
        <v>-9.999999999999995E-2</v>
      </c>
      <c r="O22" s="454"/>
    </row>
    <row r="23" spans="2:15" x14ac:dyDescent="0.25">
      <c r="B23" s="452"/>
      <c r="C23" s="452"/>
      <c r="D23" s="452"/>
      <c r="E23" s="452"/>
      <c r="F23" s="455"/>
      <c r="G23" s="456"/>
      <c r="H23" s="455"/>
      <c r="I23" s="456"/>
      <c r="J23" s="455"/>
      <c r="K23" s="456"/>
      <c r="L23" s="455"/>
      <c r="M23" s="456"/>
      <c r="N23" s="455"/>
      <c r="O23" s="456"/>
    </row>
    <row r="24" spans="2:15" x14ac:dyDescent="0.25">
      <c r="B24" s="448" t="s">
        <v>138</v>
      </c>
      <c r="C24" s="448"/>
      <c r="D24" s="438">
        <f>(D16-(D18+D19+D12-D11))</f>
        <v>475</v>
      </c>
      <c r="E24" s="439"/>
      <c r="F24" s="438">
        <f>(F16-(F18+F19+F12-F11))</f>
        <v>1475</v>
      </c>
      <c r="G24" s="439"/>
      <c r="H24" s="438">
        <f>(H16-(H18+H19+H12-H11))</f>
        <v>1875</v>
      </c>
      <c r="I24" s="439"/>
      <c r="J24" s="438">
        <f>(J16-(J18+J19+J12-J11))</f>
        <v>875</v>
      </c>
      <c r="K24" s="439"/>
      <c r="L24" s="438">
        <f>(L16-(L18+L19+L12-L11))</f>
        <v>475</v>
      </c>
      <c r="M24" s="439"/>
      <c r="N24" s="438">
        <f>(N16-(N18+N19+N12-N11))</f>
        <v>275</v>
      </c>
      <c r="O24" s="439"/>
    </row>
    <row r="25" spans="2:15" x14ac:dyDescent="0.25">
      <c r="B25" s="440" t="s">
        <v>139</v>
      </c>
      <c r="C25" s="440"/>
      <c r="D25" s="52"/>
      <c r="E25" s="52"/>
      <c r="F25" s="52"/>
      <c r="G25" s="52"/>
    </row>
    <row r="26" spans="2:15" x14ac:dyDescent="0.25">
      <c r="B26" s="440"/>
      <c r="C26" s="440"/>
    </row>
    <row r="27" spans="2:15" x14ac:dyDescent="0.25">
      <c r="B27" s="440"/>
      <c r="C27" s="440"/>
    </row>
    <row r="28" spans="2:15" x14ac:dyDescent="0.25">
      <c r="B28" s="440"/>
      <c r="C28" s="440"/>
    </row>
    <row r="29" spans="2:15" x14ac:dyDescent="0.25">
      <c r="B29" s="441">
        <f>IFERROR(AVERAGE(D20:O20)," ")</f>
        <v>1.5956284153005464</v>
      </c>
      <c r="C29" s="442"/>
    </row>
    <row r="30" spans="2:15" x14ac:dyDescent="0.25">
      <c r="B30" s="442"/>
      <c r="C30" s="442"/>
    </row>
    <row r="31" spans="2:15" x14ac:dyDescent="0.25">
      <c r="B31" s="442"/>
      <c r="C31" s="442"/>
    </row>
    <row r="32" spans="2:15" x14ac:dyDescent="0.25">
      <c r="B32" s="443" t="s">
        <v>140</v>
      </c>
      <c r="C32" s="443"/>
    </row>
    <row r="33" spans="2:3" x14ac:dyDescent="0.25">
      <c r="B33" s="443"/>
      <c r="C33" s="443"/>
    </row>
    <row r="34" spans="2:3" x14ac:dyDescent="0.25">
      <c r="B34" s="444">
        <f>IFERROR(AVERAGE(E18,G18,I18,K18,M18,O18)," ")</f>
        <v>1.622222222222222</v>
      </c>
      <c r="C34" s="445"/>
    </row>
    <row r="35" spans="2:3" x14ac:dyDescent="0.25">
      <c r="B35" s="446"/>
      <c r="C35" s="447"/>
    </row>
    <row r="36" spans="2:3" x14ac:dyDescent="0.25">
      <c r="B36" s="443" t="s">
        <v>141</v>
      </c>
      <c r="C36" s="443"/>
    </row>
    <row r="37" spans="2:3" x14ac:dyDescent="0.25">
      <c r="B37" s="443"/>
      <c r="C37" s="443"/>
    </row>
    <row r="38" spans="2:3" x14ac:dyDescent="0.25">
      <c r="B38" s="434">
        <f>IFERROR(AVERAGE(E19,G19,I19,K19,M19,O19)," ")</f>
        <v>162.22222222222223</v>
      </c>
      <c r="C38" s="435"/>
    </row>
    <row r="39" spans="2:3" x14ac:dyDescent="0.25">
      <c r="B39" s="436"/>
      <c r="C39" s="437"/>
    </row>
  </sheetData>
  <mergeCells count="110">
    <mergeCell ref="B2:O2"/>
    <mergeCell ref="B3:C4"/>
    <mergeCell ref="D3:O3"/>
    <mergeCell ref="D4:E4"/>
    <mergeCell ref="F4:G4"/>
    <mergeCell ref="H4:I4"/>
    <mergeCell ref="J4:K4"/>
    <mergeCell ref="L4:M4"/>
    <mergeCell ref="N4:O4"/>
    <mergeCell ref="N5:O5"/>
    <mergeCell ref="B6:C6"/>
    <mergeCell ref="D6:E6"/>
    <mergeCell ref="F6:G6"/>
    <mergeCell ref="H6:I6"/>
    <mergeCell ref="J6:K6"/>
    <mergeCell ref="L6:M6"/>
    <mergeCell ref="N6:O6"/>
    <mergeCell ref="B5:C5"/>
    <mergeCell ref="D5:E5"/>
    <mergeCell ref="F5:G5"/>
    <mergeCell ref="H5:I5"/>
    <mergeCell ref="J5:K5"/>
    <mergeCell ref="L5:M5"/>
    <mergeCell ref="N7:O7"/>
    <mergeCell ref="B8:C8"/>
    <mergeCell ref="D8:E8"/>
    <mergeCell ref="F8:G8"/>
    <mergeCell ref="H8:I8"/>
    <mergeCell ref="J8:K8"/>
    <mergeCell ref="L8:M8"/>
    <mergeCell ref="N8:O8"/>
    <mergeCell ref="B7:C7"/>
    <mergeCell ref="D7:E7"/>
    <mergeCell ref="F7:G7"/>
    <mergeCell ref="H7:I7"/>
    <mergeCell ref="J7:K7"/>
    <mergeCell ref="L7:M7"/>
    <mergeCell ref="N9:O9"/>
    <mergeCell ref="B10:C10"/>
    <mergeCell ref="D10:E10"/>
    <mergeCell ref="F10:G10"/>
    <mergeCell ref="H10:I10"/>
    <mergeCell ref="J10:K10"/>
    <mergeCell ref="L10:M10"/>
    <mergeCell ref="N10:O10"/>
    <mergeCell ref="B9:C9"/>
    <mergeCell ref="D9:E9"/>
    <mergeCell ref="F9:G9"/>
    <mergeCell ref="H9:I9"/>
    <mergeCell ref="J9:K9"/>
    <mergeCell ref="L9:M9"/>
    <mergeCell ref="B13:C15"/>
    <mergeCell ref="D13:O13"/>
    <mergeCell ref="D14:E14"/>
    <mergeCell ref="F14:G14"/>
    <mergeCell ref="H14:I14"/>
    <mergeCell ref="J14:K14"/>
    <mergeCell ref="L14:M14"/>
    <mergeCell ref="N14:O14"/>
    <mergeCell ref="N11:O11"/>
    <mergeCell ref="B12:C12"/>
    <mergeCell ref="D12:E12"/>
    <mergeCell ref="F12:G12"/>
    <mergeCell ref="H12:I12"/>
    <mergeCell ref="J12:K12"/>
    <mergeCell ref="L12:M12"/>
    <mergeCell ref="N12:O12"/>
    <mergeCell ref="B11:C11"/>
    <mergeCell ref="D11:E11"/>
    <mergeCell ref="F11:G11"/>
    <mergeCell ref="H11:I11"/>
    <mergeCell ref="J11:K11"/>
    <mergeCell ref="L11:M11"/>
    <mergeCell ref="N20:O20"/>
    <mergeCell ref="D21:O21"/>
    <mergeCell ref="B22:E23"/>
    <mergeCell ref="F22:G23"/>
    <mergeCell ref="H22:I23"/>
    <mergeCell ref="J22:K23"/>
    <mergeCell ref="L22:M23"/>
    <mergeCell ref="N22:O23"/>
    <mergeCell ref="N16:O16"/>
    <mergeCell ref="D17:O17"/>
    <mergeCell ref="B18:C18"/>
    <mergeCell ref="B19:C19"/>
    <mergeCell ref="B20:C20"/>
    <mergeCell ref="D20:E20"/>
    <mergeCell ref="F20:G20"/>
    <mergeCell ref="H20:I20"/>
    <mergeCell ref="J20:K20"/>
    <mergeCell ref="L20:M20"/>
    <mergeCell ref="B16:C16"/>
    <mergeCell ref="D16:E16"/>
    <mergeCell ref="F16:G16"/>
    <mergeCell ref="H16:I16"/>
    <mergeCell ref="J16:K16"/>
    <mergeCell ref="L16:M16"/>
    <mergeCell ref="B38:C39"/>
    <mergeCell ref="N24:O24"/>
    <mergeCell ref="B25:C28"/>
    <mergeCell ref="B29:C31"/>
    <mergeCell ref="B32:C33"/>
    <mergeCell ref="B34:C35"/>
    <mergeCell ref="B36:C37"/>
    <mergeCell ref="B24:C24"/>
    <mergeCell ref="D24:E24"/>
    <mergeCell ref="F24:G24"/>
    <mergeCell ref="H24:I24"/>
    <mergeCell ref="J24:K24"/>
    <mergeCell ref="L24:M24"/>
  </mergeCells>
  <conditionalFormatting sqref="F22 H22 J22 L22 N22">
    <cfRule type="iconSet" priority="14">
      <iconSet iconSet="3Arrows">
        <cfvo type="percent" val="0"/>
        <cfvo type="num" val="0"/>
        <cfvo type="num" val="0" gte="0"/>
      </iconSet>
    </cfRule>
  </conditionalFormatting>
  <conditionalFormatting sqref="F20:G20">
    <cfRule type="iconSet" priority="5">
      <iconSet iconSet="3Arrows">
        <cfvo type="percent" val="0"/>
        <cfvo type="num" val="$C$19"/>
        <cfvo type="num" val="$C$19" gte="0"/>
      </iconSet>
    </cfRule>
  </conditionalFormatting>
  <conditionalFormatting sqref="G18">
    <cfRule type="iconSet" priority="16">
      <iconSet iconSet="3Arrows">
        <cfvo type="percent" val="0"/>
        <cfvo type="num" val="$D$17"/>
        <cfvo type="num" val="$D$17" gte="0"/>
      </iconSet>
    </cfRule>
  </conditionalFormatting>
  <conditionalFormatting sqref="G19">
    <cfRule type="iconSet" priority="15">
      <iconSet iconSet="3Arrows">
        <cfvo type="percent" val="0"/>
        <cfvo type="num" val="$D$18"/>
        <cfvo type="num" val="$D$18" gte="0"/>
      </iconSet>
    </cfRule>
  </conditionalFormatting>
  <conditionalFormatting sqref="H20:I20">
    <cfRule type="iconSet" priority="4">
      <iconSet iconSet="3Arrows">
        <cfvo type="percent" val="0"/>
        <cfvo type="num" val="$E$19"/>
        <cfvo type="num" val="$E$19" gte="0"/>
      </iconSet>
    </cfRule>
  </conditionalFormatting>
  <conditionalFormatting sqref="I18">
    <cfRule type="iconSet" priority="13">
      <iconSet iconSet="3Arrows">
        <cfvo type="percent" val="0"/>
        <cfvo type="num" val="$F$17"/>
        <cfvo type="num" val="$F$17" gte="0"/>
      </iconSet>
    </cfRule>
  </conditionalFormatting>
  <conditionalFormatting sqref="I19">
    <cfRule type="iconSet" priority="9">
      <iconSet iconSet="3Arrows">
        <cfvo type="percent" val="0"/>
        <cfvo type="num" val="$F$18"/>
        <cfvo type="num" val="$F$18" gte="0"/>
      </iconSet>
    </cfRule>
  </conditionalFormatting>
  <conditionalFormatting sqref="J20:K20">
    <cfRule type="iconSet" priority="3">
      <iconSet iconSet="3Arrows">
        <cfvo type="percent" val="0"/>
        <cfvo type="num" val="$G$19"/>
        <cfvo type="num" val="$G$19" gte="0"/>
      </iconSet>
    </cfRule>
  </conditionalFormatting>
  <conditionalFormatting sqref="K18">
    <cfRule type="iconSet" priority="12">
      <iconSet iconSet="3Arrows">
        <cfvo type="percent" val="0"/>
        <cfvo type="num" val="$H$17"/>
        <cfvo type="num" val="$H$17" gte="0"/>
      </iconSet>
    </cfRule>
  </conditionalFormatting>
  <conditionalFormatting sqref="K19">
    <cfRule type="iconSet" priority="8">
      <iconSet iconSet="3Arrows">
        <cfvo type="percent" val="0"/>
        <cfvo type="num" val="$H$18"/>
        <cfvo type="num" val="$H$18" gte="0"/>
      </iconSet>
    </cfRule>
  </conditionalFormatting>
  <conditionalFormatting sqref="L20:M20">
    <cfRule type="iconSet" priority="2">
      <iconSet iconSet="3Arrows">
        <cfvo type="percent" val="0"/>
        <cfvo type="num" val="$I$19"/>
        <cfvo type="num" val="$I$19" gte="0"/>
      </iconSet>
    </cfRule>
  </conditionalFormatting>
  <conditionalFormatting sqref="M18">
    <cfRule type="iconSet" priority="11">
      <iconSet iconSet="3Arrows">
        <cfvo type="percent" val="0"/>
        <cfvo type="num" val="$J$17"/>
        <cfvo type="num" val="$J$17" gte="0"/>
      </iconSet>
    </cfRule>
  </conditionalFormatting>
  <conditionalFormatting sqref="M19">
    <cfRule type="iconSet" priority="7">
      <iconSet iconSet="3Arrows">
        <cfvo type="percent" val="0"/>
        <cfvo type="num" val="$J$18"/>
        <cfvo type="num" val="$J$18" gte="0"/>
      </iconSet>
    </cfRule>
  </conditionalFormatting>
  <conditionalFormatting sqref="N20:O20">
    <cfRule type="iconSet" priority="1">
      <iconSet iconSet="3Arrows">
        <cfvo type="percent" val="0"/>
        <cfvo type="num" val="$K$19"/>
        <cfvo type="num" val="$K$19" gte="0"/>
      </iconSet>
    </cfRule>
  </conditionalFormatting>
  <conditionalFormatting sqref="O18">
    <cfRule type="iconSet" priority="10">
      <iconSet iconSet="3Arrows">
        <cfvo type="percent" val="0"/>
        <cfvo type="num" val="$L$17"/>
        <cfvo type="num" val="$L$17"/>
      </iconSet>
    </cfRule>
  </conditionalFormatting>
  <conditionalFormatting sqref="O19">
    <cfRule type="iconSet" priority="6">
      <iconSet iconSet="3Arrows">
        <cfvo type="percent" val="0"/>
        <cfvo type="num" val="$L$18"/>
        <cfvo type="num" val="$L$18" gte="0"/>
      </iconSet>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10"/>
  <sheetViews>
    <sheetView workbookViewId="0">
      <selection activeCell="K8" sqref="K8"/>
    </sheetView>
  </sheetViews>
  <sheetFormatPr baseColWidth="10" defaultColWidth="10.7109375" defaultRowHeight="15" x14ac:dyDescent="0.25"/>
  <cols>
    <col min="1" max="1" width="14.7109375" customWidth="1"/>
    <col min="3" max="3" width="12.85546875" customWidth="1"/>
  </cols>
  <sheetData>
    <row r="2" spans="1:8" x14ac:dyDescent="0.25">
      <c r="A2" s="329" t="s">
        <v>142</v>
      </c>
      <c r="B2" s="330" t="s">
        <v>143</v>
      </c>
      <c r="C2" s="330" t="s">
        <v>144</v>
      </c>
      <c r="D2" s="330" t="s">
        <v>145</v>
      </c>
      <c r="E2" s="331" t="s">
        <v>146</v>
      </c>
      <c r="G2" s="53">
        <f>AVERAGE(B3:B10)</f>
        <v>16.125</v>
      </c>
      <c r="H2" s="57" t="s">
        <v>144</v>
      </c>
    </row>
    <row r="3" spans="1:8" x14ac:dyDescent="0.25">
      <c r="A3" s="307" t="s">
        <v>147</v>
      </c>
      <c r="B3" s="53">
        <v>19</v>
      </c>
      <c r="C3" s="53">
        <v>16</v>
      </c>
      <c r="D3" s="53">
        <f>$G$2+1*$G$4</f>
        <v>21.48190475661352</v>
      </c>
      <c r="E3" s="306">
        <f>$G$2-1*$G$4</f>
        <v>10.76809524338648</v>
      </c>
      <c r="G3" s="54"/>
      <c r="H3" s="54"/>
    </row>
    <row r="4" spans="1:8" x14ac:dyDescent="0.25">
      <c r="A4" s="307" t="s">
        <v>148</v>
      </c>
      <c r="B4" s="53">
        <v>20</v>
      </c>
      <c r="C4" s="53">
        <v>16</v>
      </c>
      <c r="D4" s="53">
        <f t="shared" ref="D4:D10" si="0">$G$2+1*$G$4</f>
        <v>21.48190475661352</v>
      </c>
      <c r="E4" s="306">
        <f t="shared" ref="E4:E10" si="1">$G$2-1*$G$4</f>
        <v>10.76809524338648</v>
      </c>
      <c r="G4" s="53">
        <f>_xlfn.STDEV.S(B3:B10)</f>
        <v>5.3569047566135213</v>
      </c>
      <c r="H4" s="57" t="s">
        <v>149</v>
      </c>
    </row>
    <row r="5" spans="1:8" x14ac:dyDescent="0.25">
      <c r="A5" s="307" t="s">
        <v>150</v>
      </c>
      <c r="B5" s="53">
        <v>23</v>
      </c>
      <c r="C5" s="53">
        <v>16</v>
      </c>
      <c r="D5" s="53">
        <f t="shared" si="0"/>
        <v>21.48190475661352</v>
      </c>
      <c r="E5" s="306">
        <f t="shared" si="1"/>
        <v>10.76809524338648</v>
      </c>
    </row>
    <row r="6" spans="1:8" x14ac:dyDescent="0.25">
      <c r="A6" s="307" t="s">
        <v>151</v>
      </c>
      <c r="B6" s="53">
        <v>11</v>
      </c>
      <c r="C6" s="53">
        <v>16</v>
      </c>
      <c r="D6" s="53">
        <f t="shared" si="0"/>
        <v>21.48190475661352</v>
      </c>
      <c r="E6" s="306">
        <f t="shared" si="1"/>
        <v>10.76809524338648</v>
      </c>
    </row>
    <row r="7" spans="1:8" x14ac:dyDescent="0.25">
      <c r="A7" s="307" t="s">
        <v>152</v>
      </c>
      <c r="B7" s="53">
        <v>10</v>
      </c>
      <c r="C7" s="53">
        <v>16</v>
      </c>
      <c r="D7" s="53">
        <f t="shared" si="0"/>
        <v>21.48190475661352</v>
      </c>
      <c r="E7" s="306">
        <f t="shared" si="1"/>
        <v>10.76809524338648</v>
      </c>
    </row>
    <row r="8" spans="1:8" x14ac:dyDescent="0.25">
      <c r="A8" s="307" t="s">
        <v>153</v>
      </c>
      <c r="B8" s="53">
        <v>20</v>
      </c>
      <c r="C8" s="53">
        <v>16</v>
      </c>
      <c r="D8" s="53">
        <f t="shared" si="0"/>
        <v>21.48190475661352</v>
      </c>
      <c r="E8" s="306">
        <f t="shared" si="1"/>
        <v>10.76809524338648</v>
      </c>
    </row>
    <row r="9" spans="1:8" x14ac:dyDescent="0.25">
      <c r="A9" s="307" t="s">
        <v>154</v>
      </c>
      <c r="B9" s="53">
        <v>17</v>
      </c>
      <c r="C9" s="53">
        <v>16</v>
      </c>
      <c r="D9" s="53">
        <f t="shared" si="0"/>
        <v>21.48190475661352</v>
      </c>
      <c r="E9" s="306">
        <f t="shared" si="1"/>
        <v>10.76809524338648</v>
      </c>
    </row>
    <row r="10" spans="1:8" x14ac:dyDescent="0.25">
      <c r="A10" s="309" t="s">
        <v>155</v>
      </c>
      <c r="B10" s="328">
        <v>9</v>
      </c>
      <c r="C10" s="328">
        <v>16</v>
      </c>
      <c r="D10" s="328">
        <f t="shared" si="0"/>
        <v>21.48190475661352</v>
      </c>
      <c r="E10" s="308">
        <f t="shared" si="1"/>
        <v>10.76809524338648</v>
      </c>
    </row>
  </sheetData>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49"/>
  <sheetViews>
    <sheetView showGridLines="0" topLeftCell="A3" zoomScale="87" zoomScaleNormal="87" workbookViewId="0">
      <selection activeCell="M21" sqref="M21:N21"/>
    </sheetView>
  </sheetViews>
  <sheetFormatPr baseColWidth="10" defaultColWidth="11.42578125" defaultRowHeight="15" x14ac:dyDescent="0.25"/>
  <cols>
    <col min="1" max="1" width="1.140625" customWidth="1"/>
    <col min="2" max="2" width="2.85546875" style="58" customWidth="1"/>
    <col min="3" max="3" width="39.5703125" customWidth="1"/>
    <col min="4" max="4" width="28.42578125" customWidth="1"/>
    <col min="5" max="5" width="22.140625" customWidth="1"/>
    <col min="6" max="6" width="19.42578125" customWidth="1"/>
    <col min="7" max="7" width="8" bestFit="1" customWidth="1"/>
    <col min="8" max="8" width="3.5703125" bestFit="1" customWidth="1"/>
    <col min="9" max="9" width="8" bestFit="1" customWidth="1"/>
    <col min="10" max="10" width="4.28515625" customWidth="1"/>
    <col min="11" max="11" width="8" bestFit="1" customWidth="1"/>
    <col min="12" max="12" width="3.5703125" bestFit="1" customWidth="1"/>
    <col min="13" max="13" width="8" bestFit="1" customWidth="1"/>
    <col min="14" max="14" width="3.5703125" bestFit="1" customWidth="1"/>
    <col min="15" max="15" width="8" bestFit="1" customWidth="1"/>
    <col min="16" max="16" width="3.5703125" bestFit="1" customWidth="1"/>
    <col min="17" max="17" width="8" bestFit="1" customWidth="1"/>
    <col min="18" max="18" width="3.5703125" bestFit="1" customWidth="1"/>
    <col min="19" max="19" width="8" bestFit="1" customWidth="1"/>
    <col min="20" max="20" width="3.5703125" customWidth="1"/>
    <col min="21" max="21" width="8" bestFit="1" customWidth="1"/>
    <col min="22" max="22" width="3.5703125" bestFit="1" customWidth="1"/>
    <col min="23" max="23" width="8.5703125" customWidth="1"/>
    <col min="24" max="24" width="4.140625" customWidth="1"/>
    <col min="25" max="25" width="8.5703125" customWidth="1"/>
    <col min="26" max="26" width="4.42578125" customWidth="1"/>
    <col min="27" max="27" width="8.5703125" customWidth="1"/>
    <col min="28" max="28" width="4.42578125" customWidth="1"/>
    <col min="29" max="29" width="8.85546875" customWidth="1"/>
    <col min="30" max="30" width="3.5703125" customWidth="1"/>
    <col min="31" max="31" width="8.7109375" customWidth="1"/>
    <col min="32" max="32" width="4.140625" customWidth="1"/>
    <col min="33" max="33" width="0.5703125" customWidth="1"/>
    <col min="34" max="46" width="11.42578125" customWidth="1"/>
  </cols>
  <sheetData>
    <row r="1" spans="2:32" ht="9.75" customHeight="1" x14ac:dyDescent="0.25"/>
    <row r="2" spans="2:32" ht="60" customHeight="1" x14ac:dyDescent="0.25">
      <c r="B2" s="527" t="s">
        <v>156</v>
      </c>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9"/>
    </row>
    <row r="3" spans="2:32" x14ac:dyDescent="0.25">
      <c r="B3" s="530" t="s">
        <v>157</v>
      </c>
      <c r="C3" s="530" t="s">
        <v>158</v>
      </c>
      <c r="D3" s="532" t="s">
        <v>159</v>
      </c>
      <c r="E3" s="533"/>
      <c r="F3" s="534"/>
      <c r="G3" s="525" t="s">
        <v>160</v>
      </c>
      <c r="H3" s="526"/>
      <c r="I3" s="525" t="s">
        <v>161</v>
      </c>
      <c r="J3" s="526"/>
      <c r="K3" s="525" t="s">
        <v>162</v>
      </c>
      <c r="L3" s="526"/>
      <c r="M3" s="525" t="s">
        <v>163</v>
      </c>
      <c r="N3" s="526"/>
      <c r="O3" s="525" t="s">
        <v>164</v>
      </c>
      <c r="P3" s="526"/>
      <c r="Q3" s="525" t="s">
        <v>165</v>
      </c>
      <c r="R3" s="526"/>
      <c r="S3" s="525" t="s">
        <v>166</v>
      </c>
      <c r="T3" s="526"/>
      <c r="U3" s="525" t="s">
        <v>167</v>
      </c>
      <c r="V3" s="526"/>
      <c r="W3" s="525" t="s">
        <v>168</v>
      </c>
      <c r="X3" s="526"/>
      <c r="Y3" s="525" t="s">
        <v>169</v>
      </c>
      <c r="Z3" s="526"/>
      <c r="AA3" s="525" t="s">
        <v>170</v>
      </c>
      <c r="AB3" s="526"/>
      <c r="AC3" s="525" t="s">
        <v>171</v>
      </c>
      <c r="AD3" s="526"/>
      <c r="AE3" s="525" t="s">
        <v>172</v>
      </c>
      <c r="AF3" s="526"/>
    </row>
    <row r="4" spans="2:32" x14ac:dyDescent="0.25">
      <c r="B4" s="530"/>
      <c r="C4" s="531"/>
      <c r="D4" s="535" t="s">
        <v>173</v>
      </c>
      <c r="E4" s="524" t="s">
        <v>174</v>
      </c>
      <c r="F4" s="535" t="s">
        <v>175</v>
      </c>
      <c r="G4" s="523" t="s">
        <v>176</v>
      </c>
      <c r="H4" s="524" t="s">
        <v>177</v>
      </c>
      <c r="I4" s="523" t="s">
        <v>176</v>
      </c>
      <c r="J4" s="524" t="s">
        <v>177</v>
      </c>
      <c r="K4" s="523" t="s">
        <v>176</v>
      </c>
      <c r="L4" s="524" t="s">
        <v>177</v>
      </c>
      <c r="M4" s="523" t="s">
        <v>176</v>
      </c>
      <c r="N4" s="524" t="s">
        <v>177</v>
      </c>
      <c r="O4" s="523" t="s">
        <v>176</v>
      </c>
      <c r="P4" s="524" t="s">
        <v>177</v>
      </c>
      <c r="Q4" s="523" t="s">
        <v>176</v>
      </c>
      <c r="R4" s="524" t="s">
        <v>177</v>
      </c>
      <c r="S4" s="523" t="s">
        <v>176</v>
      </c>
      <c r="T4" s="524" t="s">
        <v>177</v>
      </c>
      <c r="U4" s="523" t="s">
        <v>176</v>
      </c>
      <c r="V4" s="524" t="s">
        <v>177</v>
      </c>
      <c r="W4" s="523" t="s">
        <v>176</v>
      </c>
      <c r="X4" s="524" t="s">
        <v>177</v>
      </c>
      <c r="Y4" s="523" t="s">
        <v>176</v>
      </c>
      <c r="Z4" s="524" t="s">
        <v>177</v>
      </c>
      <c r="AA4" s="523" t="s">
        <v>176</v>
      </c>
      <c r="AB4" s="524" t="s">
        <v>177</v>
      </c>
      <c r="AC4" s="523" t="s">
        <v>176</v>
      </c>
      <c r="AD4" s="524" t="s">
        <v>177</v>
      </c>
      <c r="AE4" s="523" t="s">
        <v>176</v>
      </c>
      <c r="AF4" s="524" t="s">
        <v>177</v>
      </c>
    </row>
    <row r="5" spans="2:32" s="59" customFormat="1" x14ac:dyDescent="0.25">
      <c r="B5" s="530"/>
      <c r="C5" s="531"/>
      <c r="D5" s="536"/>
      <c r="E5" s="524"/>
      <c r="F5" s="536"/>
      <c r="G5" s="523"/>
      <c r="H5" s="524"/>
      <c r="I5" s="523"/>
      <c r="J5" s="524"/>
      <c r="K5" s="523"/>
      <c r="L5" s="524"/>
      <c r="M5" s="523"/>
      <c r="N5" s="524"/>
      <c r="O5" s="523"/>
      <c r="P5" s="524"/>
      <c r="Q5" s="523"/>
      <c r="R5" s="524"/>
      <c r="S5" s="523"/>
      <c r="T5" s="524"/>
      <c r="U5" s="523"/>
      <c r="V5" s="524"/>
      <c r="W5" s="523"/>
      <c r="X5" s="524"/>
      <c r="Y5" s="523"/>
      <c r="Z5" s="524"/>
      <c r="AA5" s="523"/>
      <c r="AB5" s="524"/>
      <c r="AC5" s="523"/>
      <c r="AD5" s="524"/>
      <c r="AE5" s="523"/>
      <c r="AF5" s="524"/>
    </row>
    <row r="6" spans="2:32" x14ac:dyDescent="0.25">
      <c r="B6" s="60">
        <v>1</v>
      </c>
      <c r="C6" s="61" t="s">
        <v>178</v>
      </c>
      <c r="D6" s="62">
        <v>1.3888888888888889E-3</v>
      </c>
      <c r="E6" s="61">
        <v>1</v>
      </c>
      <c r="F6" s="63">
        <f>IFERROR(D6/E6,0)</f>
        <v>1.3888888888888889E-3</v>
      </c>
      <c r="G6" s="64">
        <f>IFERROR(D6/H6,0)</f>
        <v>1.3888888888888889E-3</v>
      </c>
      <c r="H6" s="65">
        <f>IFERROR(IF(AND($D$18=F6,D6&gt;0),E6+1,E6),0)</f>
        <v>1</v>
      </c>
      <c r="I6" s="66">
        <f>IFERROR(D6/J6,0)</f>
        <v>6.9444444444444447E-4</v>
      </c>
      <c r="J6" s="65">
        <f>IFERROR(IF(AND(G6=$G$18,D6&gt;0),H6+1,H6),0)</f>
        <v>2</v>
      </c>
      <c r="K6" s="66">
        <f>IFERROR(D6/L6,0)</f>
        <v>6.9444444444444447E-4</v>
      </c>
      <c r="L6" s="67">
        <f>IFERROR(IF(AND(I6=$I$18,D6&gt;0),J6+1,J6),0)</f>
        <v>2</v>
      </c>
      <c r="M6" s="66">
        <f>IFERROR(D6/N6,0)</f>
        <v>4.6296296296296298E-4</v>
      </c>
      <c r="N6" s="67">
        <f>IFERROR(IF(AND(K6=$K$18,D6&gt;0),L6+1,L6),0)</f>
        <v>3</v>
      </c>
      <c r="O6" s="66">
        <f>IFERROR(D6/P6,0)</f>
        <v>4.6296296296296298E-4</v>
      </c>
      <c r="P6" s="67">
        <f>IFERROR(IF(AND(M6=$M$18,D6&gt;0),N6+1,N6),0)</f>
        <v>3</v>
      </c>
      <c r="Q6" s="66">
        <f>IFERROR(D6/R6,0)</f>
        <v>3.4722222222222224E-4</v>
      </c>
      <c r="R6" s="67">
        <f>IFERROR(IF(AND(D6&gt;0,O6=$O$18),P6+1,P6),0)</f>
        <v>4</v>
      </c>
      <c r="S6" s="66">
        <f>IFERROR(D6/T6,0)</f>
        <v>3.4722222222222224E-4</v>
      </c>
      <c r="T6" s="65">
        <f>IFERROR(IF(AND(D6&gt;0,Q6=$Q$18),R6+1,R6),0)</f>
        <v>4</v>
      </c>
      <c r="U6" s="66">
        <f>IFERROR(D6/V6,0)</f>
        <v>2.7777777777777778E-4</v>
      </c>
      <c r="V6" s="65">
        <f>IFERROR(IF(AND(D6&gt;0,S6=$S$18),T6+1,T6),0)</f>
        <v>5</v>
      </c>
      <c r="W6" s="66">
        <f>IFERROR(D6/X6,0)</f>
        <v>2.7777777777777778E-4</v>
      </c>
      <c r="X6" s="67">
        <f>IFERROR(IF(AND(D6&gt;0,U6=$U$18),V6+1,V6),0)</f>
        <v>5</v>
      </c>
      <c r="Y6" s="66">
        <f>IFERROR(D6/Z6,0)</f>
        <v>2.3148148148148149E-4</v>
      </c>
      <c r="Z6" s="67">
        <f>IFERROR(IF(AND(D6&gt;0,W6=$W$18),X6+1,X6),0)</f>
        <v>6</v>
      </c>
      <c r="AA6" s="66">
        <f>IFERROR(D6/AB6,0)</f>
        <v>2.3148148148148149E-4</v>
      </c>
      <c r="AB6" s="67">
        <f>IFERROR(IF(AND(D6&gt;0,Y6=$Y$18),Z6+1,Z6),0)</f>
        <v>6</v>
      </c>
      <c r="AC6" s="66">
        <f>IFERROR(D6/AD6,0)</f>
        <v>1.9841269841269841E-4</v>
      </c>
      <c r="AD6" s="65">
        <f>IFERROR(IF(AND(D6&gt;0,AA6=$AA$18),AB6+1,AB6),0)</f>
        <v>7</v>
      </c>
      <c r="AE6" s="66">
        <f>IFERROR(D6/AF6,0)</f>
        <v>1.9841269841269841E-4</v>
      </c>
      <c r="AF6" s="65">
        <f>IFERROR(IF(AND(D6&gt;0,AC6=$AC$18),AD6+1,AD6),0)</f>
        <v>7</v>
      </c>
    </row>
    <row r="7" spans="2:32" x14ac:dyDescent="0.25">
      <c r="B7" s="68">
        <v>2</v>
      </c>
      <c r="C7" s="61" t="s">
        <v>179</v>
      </c>
      <c r="D7" s="62">
        <v>1.3888888888888889E-3</v>
      </c>
      <c r="E7" s="61">
        <v>1</v>
      </c>
      <c r="F7" s="63">
        <f t="shared" ref="F7:F16" si="0">IFERROR(D7/E7,0)</f>
        <v>1.3888888888888889E-3</v>
      </c>
      <c r="G7" s="64">
        <f t="shared" ref="G7:G16" si="1">IFERROR(D7/H7,0)</f>
        <v>1.3888888888888889E-3</v>
      </c>
      <c r="H7" s="65">
        <f t="shared" ref="H7:H16" si="2">IFERROR(IF(AND($D$18=F7,D7&gt;0),E7+1,E7),0)</f>
        <v>1</v>
      </c>
      <c r="I7" s="66">
        <f t="shared" ref="I7:I16" si="3">IFERROR(D7/J7,0)</f>
        <v>6.9444444444444447E-4</v>
      </c>
      <c r="J7" s="65">
        <f t="shared" ref="J7:J16" si="4">IFERROR(IF(AND(G7=$G$18,D7&gt;0),H7+1,H7),0)</f>
        <v>2</v>
      </c>
      <c r="K7" s="66">
        <f t="shared" ref="K7:K16" si="5">IFERROR(D7/L7,0)</f>
        <v>6.9444444444444447E-4</v>
      </c>
      <c r="L7" s="67">
        <f t="shared" ref="L7:L16" si="6">IFERROR(IF(AND(I7=$I$18,D7&gt;0),J7+1,J7),0)</f>
        <v>2</v>
      </c>
      <c r="M7" s="66">
        <f t="shared" ref="M7:M16" si="7">IFERROR(D7/N7,0)</f>
        <v>4.6296296296296298E-4</v>
      </c>
      <c r="N7" s="67">
        <f t="shared" ref="N7:N16" si="8">IFERROR(IF(AND(K7=$K$18,D7&gt;0),L7+1,L7),0)</f>
        <v>3</v>
      </c>
      <c r="O7" s="66">
        <f t="shared" ref="O7:O16" si="9">IFERROR(D7/P7,0)</f>
        <v>4.6296296296296298E-4</v>
      </c>
      <c r="P7" s="67">
        <f t="shared" ref="P7:P16" si="10">IFERROR(IF(AND(M7=$M$18,D7&gt;0),N7+1,N7),0)</f>
        <v>3</v>
      </c>
      <c r="Q7" s="66">
        <f t="shared" ref="Q7:Q16" si="11">IFERROR(D7/R7,0)</f>
        <v>3.4722222222222224E-4</v>
      </c>
      <c r="R7" s="67">
        <f t="shared" ref="R7:R16" si="12">IFERROR(IF(AND(D7&gt;0,O7=$O$18),P7+1,P7),0)</f>
        <v>4</v>
      </c>
      <c r="S7" s="66">
        <f t="shared" ref="S7:S16" si="13">IFERROR(D7/T7,0)</f>
        <v>3.4722222222222224E-4</v>
      </c>
      <c r="T7" s="65">
        <f t="shared" ref="T7:T16" si="14">IFERROR(IF(AND(D7&gt;0,Q7=$Q$18),R7+1,R7),0)</f>
        <v>4</v>
      </c>
      <c r="U7" s="66">
        <f t="shared" ref="U7:U16" si="15">IFERROR(D7/V7,0)</f>
        <v>2.7777777777777778E-4</v>
      </c>
      <c r="V7" s="65">
        <f t="shared" ref="V7:V16" si="16">IFERROR(IF(AND(D7&gt;0,S7=$S$18),T7+1,T7),0)</f>
        <v>5</v>
      </c>
      <c r="W7" s="66">
        <f t="shared" ref="W7:W16" si="17">IFERROR(D7/X7,0)</f>
        <v>2.7777777777777778E-4</v>
      </c>
      <c r="X7" s="67">
        <f t="shared" ref="X7:X16" si="18">IFERROR(IF(AND(D7&gt;0,U7=$U$18),V7+1,V7),0)</f>
        <v>5</v>
      </c>
      <c r="Y7" s="66">
        <f t="shared" ref="Y7:Y16" si="19">IFERROR(D7/Z7,0)</f>
        <v>2.3148148148148149E-4</v>
      </c>
      <c r="Z7" s="67">
        <f t="shared" ref="Z7:Z16" si="20">IFERROR(IF(AND(D7&gt;0,W7=$W$18),X7+1,X7),0)</f>
        <v>6</v>
      </c>
      <c r="AA7" s="66">
        <f t="shared" ref="AA7:AA16" si="21">IFERROR(D7/AB7,0)</f>
        <v>2.3148148148148149E-4</v>
      </c>
      <c r="AB7" s="67">
        <f t="shared" ref="AB7:AB16" si="22">IFERROR(IF(AND(D7&gt;0,Y7=$Y$18),Z7+1,Z7),0)</f>
        <v>6</v>
      </c>
      <c r="AC7" s="66">
        <f t="shared" ref="AC7:AC16" si="23">IFERROR(D7/AD7,0)</f>
        <v>1.9841269841269841E-4</v>
      </c>
      <c r="AD7" s="65">
        <f t="shared" ref="AD7:AD16" si="24">IFERROR(IF(AND(D7&gt;0,AA7=$AA$18),AB7+1,AB7),0)</f>
        <v>7</v>
      </c>
      <c r="AE7" s="66">
        <f t="shared" ref="AE7:AE16" si="25">IFERROR(D7/AF7,0)</f>
        <v>1.9841269841269841E-4</v>
      </c>
      <c r="AF7" s="65">
        <f t="shared" ref="AF7:AF16" si="26">IFERROR(IF(AND(D7&gt;0,AC7=$AC$18),AD7+1,AD7),0)</f>
        <v>7</v>
      </c>
    </row>
    <row r="8" spans="2:32" x14ac:dyDescent="0.25">
      <c r="B8" s="68">
        <v>3</v>
      </c>
      <c r="C8" s="61" t="s">
        <v>180</v>
      </c>
      <c r="D8" s="62">
        <v>2.0833333333333333E-3</v>
      </c>
      <c r="E8" s="61">
        <v>1</v>
      </c>
      <c r="F8" s="63">
        <f t="shared" si="0"/>
        <v>2.0833333333333333E-3</v>
      </c>
      <c r="G8" s="64">
        <f t="shared" si="1"/>
        <v>1.0416666666666667E-3</v>
      </c>
      <c r="H8" s="65">
        <f t="shared" si="2"/>
        <v>2</v>
      </c>
      <c r="I8" s="66">
        <f t="shared" si="3"/>
        <v>1.0416666666666667E-3</v>
      </c>
      <c r="J8" s="65">
        <f t="shared" si="4"/>
        <v>2</v>
      </c>
      <c r="K8" s="66">
        <f t="shared" si="5"/>
        <v>6.9444444444444447E-4</v>
      </c>
      <c r="L8" s="67">
        <f t="shared" si="6"/>
        <v>3</v>
      </c>
      <c r="M8" s="66">
        <f t="shared" si="7"/>
        <v>5.2083333333333333E-4</v>
      </c>
      <c r="N8" s="67">
        <f t="shared" si="8"/>
        <v>4</v>
      </c>
      <c r="O8" s="66">
        <f t="shared" si="9"/>
        <v>4.1666666666666664E-4</v>
      </c>
      <c r="P8" s="67">
        <f t="shared" si="10"/>
        <v>5</v>
      </c>
      <c r="Q8" s="66">
        <f t="shared" si="11"/>
        <v>4.1666666666666664E-4</v>
      </c>
      <c r="R8" s="67">
        <f t="shared" si="12"/>
        <v>5</v>
      </c>
      <c r="S8" s="66">
        <f t="shared" si="13"/>
        <v>3.4722222222222224E-4</v>
      </c>
      <c r="T8" s="65">
        <f t="shared" si="14"/>
        <v>6</v>
      </c>
      <c r="U8" s="66">
        <f t="shared" si="15"/>
        <v>2.9761904761904759E-4</v>
      </c>
      <c r="V8" s="65">
        <f t="shared" si="16"/>
        <v>7</v>
      </c>
      <c r="W8" s="66">
        <f t="shared" si="17"/>
        <v>2.6041666666666666E-4</v>
      </c>
      <c r="X8" s="67">
        <f t="shared" si="18"/>
        <v>8</v>
      </c>
      <c r="Y8" s="66">
        <f t="shared" si="19"/>
        <v>2.6041666666666666E-4</v>
      </c>
      <c r="Z8" s="67">
        <f t="shared" si="20"/>
        <v>8</v>
      </c>
      <c r="AA8" s="66">
        <f t="shared" si="21"/>
        <v>2.3148148148148149E-4</v>
      </c>
      <c r="AB8" s="67">
        <f t="shared" si="22"/>
        <v>9</v>
      </c>
      <c r="AC8" s="66">
        <f t="shared" si="23"/>
        <v>2.0833333333333332E-4</v>
      </c>
      <c r="AD8" s="65">
        <f t="shared" si="24"/>
        <v>10</v>
      </c>
      <c r="AE8" s="66">
        <f t="shared" si="25"/>
        <v>1.8939393939393939E-4</v>
      </c>
      <c r="AF8" s="65">
        <f t="shared" si="26"/>
        <v>11</v>
      </c>
    </row>
    <row r="9" spans="2:32" x14ac:dyDescent="0.25">
      <c r="B9" s="68">
        <v>4</v>
      </c>
      <c r="C9" s="61"/>
      <c r="D9" s="62"/>
      <c r="E9" s="61"/>
      <c r="F9" s="63">
        <f t="shared" si="0"/>
        <v>0</v>
      </c>
      <c r="G9" s="64">
        <f t="shared" si="1"/>
        <v>0</v>
      </c>
      <c r="H9" s="65">
        <f t="shared" si="2"/>
        <v>0</v>
      </c>
      <c r="I9" s="66">
        <f t="shared" si="3"/>
        <v>0</v>
      </c>
      <c r="J9" s="65">
        <f t="shared" si="4"/>
        <v>0</v>
      </c>
      <c r="K9" s="66">
        <f t="shared" si="5"/>
        <v>0</v>
      </c>
      <c r="L9" s="67">
        <f t="shared" si="6"/>
        <v>0</v>
      </c>
      <c r="M9" s="66">
        <f t="shared" si="7"/>
        <v>0</v>
      </c>
      <c r="N9" s="67">
        <f t="shared" si="8"/>
        <v>0</v>
      </c>
      <c r="O9" s="66">
        <f t="shared" si="9"/>
        <v>0</v>
      </c>
      <c r="P9" s="67">
        <f t="shared" si="10"/>
        <v>0</v>
      </c>
      <c r="Q9" s="66">
        <f t="shared" si="11"/>
        <v>0</v>
      </c>
      <c r="R9" s="67">
        <f t="shared" si="12"/>
        <v>0</v>
      </c>
      <c r="S9" s="66">
        <f t="shared" si="13"/>
        <v>0</v>
      </c>
      <c r="T9" s="65">
        <f t="shared" si="14"/>
        <v>0</v>
      </c>
      <c r="U9" s="66">
        <f t="shared" si="15"/>
        <v>0</v>
      </c>
      <c r="V9" s="65">
        <f t="shared" si="16"/>
        <v>0</v>
      </c>
      <c r="W9" s="66">
        <f t="shared" si="17"/>
        <v>0</v>
      </c>
      <c r="X9" s="67">
        <f t="shared" si="18"/>
        <v>0</v>
      </c>
      <c r="Y9" s="66">
        <f t="shared" si="19"/>
        <v>0</v>
      </c>
      <c r="Z9" s="67">
        <f t="shared" si="20"/>
        <v>0</v>
      </c>
      <c r="AA9" s="66">
        <f t="shared" si="21"/>
        <v>0</v>
      </c>
      <c r="AB9" s="67">
        <f t="shared" si="22"/>
        <v>0</v>
      </c>
      <c r="AC9" s="66">
        <f t="shared" si="23"/>
        <v>0</v>
      </c>
      <c r="AD9" s="65">
        <f t="shared" si="24"/>
        <v>0</v>
      </c>
      <c r="AE9" s="66">
        <f t="shared" si="25"/>
        <v>0</v>
      </c>
      <c r="AF9" s="65">
        <f t="shared" si="26"/>
        <v>0</v>
      </c>
    </row>
    <row r="10" spans="2:32" x14ac:dyDescent="0.25">
      <c r="B10" s="68">
        <v>5</v>
      </c>
      <c r="C10" s="61"/>
      <c r="D10" s="62"/>
      <c r="E10" s="61"/>
      <c r="F10" s="63">
        <f t="shared" si="0"/>
        <v>0</v>
      </c>
      <c r="G10" s="64">
        <f t="shared" si="1"/>
        <v>0</v>
      </c>
      <c r="H10" s="65">
        <f t="shared" si="2"/>
        <v>0</v>
      </c>
      <c r="I10" s="66">
        <f t="shared" si="3"/>
        <v>0</v>
      </c>
      <c r="J10" s="65">
        <f t="shared" si="4"/>
        <v>0</v>
      </c>
      <c r="K10" s="66">
        <f t="shared" si="5"/>
        <v>0</v>
      </c>
      <c r="L10" s="67">
        <f t="shared" si="6"/>
        <v>0</v>
      </c>
      <c r="M10" s="66">
        <f t="shared" si="7"/>
        <v>0</v>
      </c>
      <c r="N10" s="67">
        <f t="shared" si="8"/>
        <v>0</v>
      </c>
      <c r="O10" s="66">
        <f t="shared" si="9"/>
        <v>0</v>
      </c>
      <c r="P10" s="67">
        <f t="shared" si="10"/>
        <v>0</v>
      </c>
      <c r="Q10" s="66">
        <f t="shared" si="11"/>
        <v>0</v>
      </c>
      <c r="R10" s="67">
        <f t="shared" si="12"/>
        <v>0</v>
      </c>
      <c r="S10" s="66">
        <f t="shared" si="13"/>
        <v>0</v>
      </c>
      <c r="T10" s="65">
        <f t="shared" si="14"/>
        <v>0</v>
      </c>
      <c r="U10" s="66">
        <f t="shared" si="15"/>
        <v>0</v>
      </c>
      <c r="V10" s="65">
        <f t="shared" si="16"/>
        <v>0</v>
      </c>
      <c r="W10" s="66">
        <f t="shared" si="17"/>
        <v>0</v>
      </c>
      <c r="X10" s="67">
        <f t="shared" si="18"/>
        <v>0</v>
      </c>
      <c r="Y10" s="66">
        <f t="shared" si="19"/>
        <v>0</v>
      </c>
      <c r="Z10" s="67">
        <f t="shared" si="20"/>
        <v>0</v>
      </c>
      <c r="AA10" s="66">
        <f t="shared" si="21"/>
        <v>0</v>
      </c>
      <c r="AB10" s="67">
        <f t="shared" si="22"/>
        <v>0</v>
      </c>
      <c r="AC10" s="66">
        <f t="shared" si="23"/>
        <v>0</v>
      </c>
      <c r="AD10" s="65">
        <f t="shared" si="24"/>
        <v>0</v>
      </c>
      <c r="AE10" s="66">
        <f t="shared" si="25"/>
        <v>0</v>
      </c>
      <c r="AF10" s="65">
        <f t="shared" si="26"/>
        <v>0</v>
      </c>
    </row>
    <row r="11" spans="2:32" x14ac:dyDescent="0.25">
      <c r="B11" s="68">
        <v>6</v>
      </c>
      <c r="C11" s="61"/>
      <c r="D11" s="62"/>
      <c r="E11" s="61"/>
      <c r="F11" s="63">
        <f t="shared" si="0"/>
        <v>0</v>
      </c>
      <c r="G11" s="64">
        <f t="shared" si="1"/>
        <v>0</v>
      </c>
      <c r="H11" s="65">
        <f t="shared" si="2"/>
        <v>0</v>
      </c>
      <c r="I11" s="66">
        <f t="shared" si="3"/>
        <v>0</v>
      </c>
      <c r="J11" s="65">
        <f t="shared" si="4"/>
        <v>0</v>
      </c>
      <c r="K11" s="66">
        <f t="shared" si="5"/>
        <v>0</v>
      </c>
      <c r="L11" s="67">
        <f t="shared" si="6"/>
        <v>0</v>
      </c>
      <c r="M11" s="66">
        <f t="shared" si="7"/>
        <v>0</v>
      </c>
      <c r="N11" s="67">
        <f t="shared" si="8"/>
        <v>0</v>
      </c>
      <c r="O11" s="66">
        <f t="shared" si="9"/>
        <v>0</v>
      </c>
      <c r="P11" s="67">
        <f t="shared" si="10"/>
        <v>0</v>
      </c>
      <c r="Q11" s="66">
        <f t="shared" si="11"/>
        <v>0</v>
      </c>
      <c r="R11" s="67">
        <f t="shared" si="12"/>
        <v>0</v>
      </c>
      <c r="S11" s="66">
        <f t="shared" si="13"/>
        <v>0</v>
      </c>
      <c r="T11" s="65">
        <f t="shared" si="14"/>
        <v>0</v>
      </c>
      <c r="U11" s="66">
        <f t="shared" si="15"/>
        <v>0</v>
      </c>
      <c r="V11" s="65">
        <f t="shared" si="16"/>
        <v>0</v>
      </c>
      <c r="W11" s="66">
        <f t="shared" si="17"/>
        <v>0</v>
      </c>
      <c r="X11" s="67">
        <f t="shared" si="18"/>
        <v>0</v>
      </c>
      <c r="Y11" s="66">
        <f t="shared" si="19"/>
        <v>0</v>
      </c>
      <c r="Z11" s="67">
        <f t="shared" si="20"/>
        <v>0</v>
      </c>
      <c r="AA11" s="66">
        <f t="shared" si="21"/>
        <v>0</v>
      </c>
      <c r="AB11" s="67">
        <f t="shared" si="22"/>
        <v>0</v>
      </c>
      <c r="AC11" s="66">
        <f t="shared" si="23"/>
        <v>0</v>
      </c>
      <c r="AD11" s="65">
        <f t="shared" si="24"/>
        <v>0</v>
      </c>
      <c r="AE11" s="66">
        <f t="shared" si="25"/>
        <v>0</v>
      </c>
      <c r="AF11" s="65">
        <f t="shared" si="26"/>
        <v>0</v>
      </c>
    </row>
    <row r="12" spans="2:32" x14ac:dyDescent="0.25">
      <c r="B12" s="68">
        <v>7</v>
      </c>
      <c r="C12" s="61"/>
      <c r="D12" s="62"/>
      <c r="E12" s="61"/>
      <c r="F12" s="63">
        <f>IFERROR(D12/E12,0)</f>
        <v>0</v>
      </c>
      <c r="G12" s="64">
        <f t="shared" si="1"/>
        <v>0</v>
      </c>
      <c r="H12" s="65">
        <f t="shared" si="2"/>
        <v>0</v>
      </c>
      <c r="I12" s="66">
        <f t="shared" si="3"/>
        <v>0</v>
      </c>
      <c r="J12" s="65">
        <f t="shared" si="4"/>
        <v>0</v>
      </c>
      <c r="K12" s="66">
        <f t="shared" si="5"/>
        <v>0</v>
      </c>
      <c r="L12" s="67">
        <f t="shared" si="6"/>
        <v>0</v>
      </c>
      <c r="M12" s="66">
        <f t="shared" si="7"/>
        <v>0</v>
      </c>
      <c r="N12" s="67">
        <f t="shared" si="8"/>
        <v>0</v>
      </c>
      <c r="O12" s="66">
        <f t="shared" si="9"/>
        <v>0</v>
      </c>
      <c r="P12" s="67">
        <f t="shared" si="10"/>
        <v>0</v>
      </c>
      <c r="Q12" s="66">
        <f t="shared" si="11"/>
        <v>0</v>
      </c>
      <c r="R12" s="67">
        <f t="shared" si="12"/>
        <v>0</v>
      </c>
      <c r="S12" s="66">
        <f t="shared" si="13"/>
        <v>0</v>
      </c>
      <c r="T12" s="65">
        <f t="shared" si="14"/>
        <v>0</v>
      </c>
      <c r="U12" s="66">
        <f t="shared" si="15"/>
        <v>0</v>
      </c>
      <c r="V12" s="65">
        <f t="shared" si="16"/>
        <v>0</v>
      </c>
      <c r="W12" s="66">
        <f t="shared" si="17"/>
        <v>0</v>
      </c>
      <c r="X12" s="67">
        <f t="shared" si="18"/>
        <v>0</v>
      </c>
      <c r="Y12" s="66">
        <f t="shared" si="19"/>
        <v>0</v>
      </c>
      <c r="Z12" s="67">
        <f t="shared" si="20"/>
        <v>0</v>
      </c>
      <c r="AA12" s="66">
        <f t="shared" si="21"/>
        <v>0</v>
      </c>
      <c r="AB12" s="67">
        <f t="shared" si="22"/>
        <v>0</v>
      </c>
      <c r="AC12" s="66">
        <f t="shared" si="23"/>
        <v>0</v>
      </c>
      <c r="AD12" s="65">
        <f t="shared" si="24"/>
        <v>0</v>
      </c>
      <c r="AE12" s="66">
        <f t="shared" si="25"/>
        <v>0</v>
      </c>
      <c r="AF12" s="65">
        <f t="shared" si="26"/>
        <v>0</v>
      </c>
    </row>
    <row r="13" spans="2:32" x14ac:dyDescent="0.25">
      <c r="B13" s="68">
        <v>8</v>
      </c>
      <c r="C13" s="61"/>
      <c r="D13" s="62"/>
      <c r="E13" s="61"/>
      <c r="F13" s="63">
        <f t="shared" si="0"/>
        <v>0</v>
      </c>
      <c r="G13" s="64">
        <f t="shared" si="1"/>
        <v>0</v>
      </c>
      <c r="H13" s="65">
        <f t="shared" si="2"/>
        <v>0</v>
      </c>
      <c r="I13" s="66">
        <f t="shared" si="3"/>
        <v>0</v>
      </c>
      <c r="J13" s="65">
        <f t="shared" si="4"/>
        <v>0</v>
      </c>
      <c r="K13" s="66">
        <f t="shared" si="5"/>
        <v>0</v>
      </c>
      <c r="L13" s="67">
        <f t="shared" si="6"/>
        <v>0</v>
      </c>
      <c r="M13" s="66">
        <f t="shared" si="7"/>
        <v>0</v>
      </c>
      <c r="N13" s="67">
        <f t="shared" si="8"/>
        <v>0</v>
      </c>
      <c r="O13" s="66">
        <f t="shared" si="9"/>
        <v>0</v>
      </c>
      <c r="P13" s="67">
        <f t="shared" si="10"/>
        <v>0</v>
      </c>
      <c r="Q13" s="66">
        <f t="shared" si="11"/>
        <v>0</v>
      </c>
      <c r="R13" s="67">
        <f t="shared" si="12"/>
        <v>0</v>
      </c>
      <c r="S13" s="66">
        <f t="shared" si="13"/>
        <v>0</v>
      </c>
      <c r="T13" s="65">
        <f t="shared" si="14"/>
        <v>0</v>
      </c>
      <c r="U13" s="66">
        <f t="shared" si="15"/>
        <v>0</v>
      </c>
      <c r="V13" s="65">
        <f t="shared" si="16"/>
        <v>0</v>
      </c>
      <c r="W13" s="66">
        <f t="shared" si="17"/>
        <v>0</v>
      </c>
      <c r="X13" s="67">
        <f t="shared" si="18"/>
        <v>0</v>
      </c>
      <c r="Y13" s="66">
        <f t="shared" si="19"/>
        <v>0</v>
      </c>
      <c r="Z13" s="67">
        <f t="shared" si="20"/>
        <v>0</v>
      </c>
      <c r="AA13" s="66">
        <f t="shared" si="21"/>
        <v>0</v>
      </c>
      <c r="AB13" s="67">
        <f>IFERROR(IF(AND(D13&gt;0,Y13=$Y$18),Z13+1,Z13),0)</f>
        <v>0</v>
      </c>
      <c r="AC13" s="66">
        <f t="shared" si="23"/>
        <v>0</v>
      </c>
      <c r="AD13" s="65">
        <f t="shared" si="24"/>
        <v>0</v>
      </c>
      <c r="AE13" s="66">
        <f t="shared" si="25"/>
        <v>0</v>
      </c>
      <c r="AF13" s="65">
        <f t="shared" si="26"/>
        <v>0</v>
      </c>
    </row>
    <row r="14" spans="2:32" x14ac:dyDescent="0.25">
      <c r="B14" s="68">
        <v>9</v>
      </c>
      <c r="C14" s="61"/>
      <c r="D14" s="62"/>
      <c r="E14" s="61"/>
      <c r="F14" s="63">
        <f t="shared" si="0"/>
        <v>0</v>
      </c>
      <c r="G14" s="64">
        <f t="shared" si="1"/>
        <v>0</v>
      </c>
      <c r="H14" s="65">
        <f t="shared" si="2"/>
        <v>0</v>
      </c>
      <c r="I14" s="66">
        <f t="shared" si="3"/>
        <v>0</v>
      </c>
      <c r="J14" s="65">
        <f t="shared" si="4"/>
        <v>0</v>
      </c>
      <c r="K14" s="66">
        <f t="shared" si="5"/>
        <v>0</v>
      </c>
      <c r="L14" s="67">
        <f t="shared" si="6"/>
        <v>0</v>
      </c>
      <c r="M14" s="66">
        <f t="shared" si="7"/>
        <v>0</v>
      </c>
      <c r="N14" s="67">
        <f t="shared" si="8"/>
        <v>0</v>
      </c>
      <c r="O14" s="66">
        <f t="shared" si="9"/>
        <v>0</v>
      </c>
      <c r="P14" s="67">
        <f t="shared" si="10"/>
        <v>0</v>
      </c>
      <c r="Q14" s="66">
        <f t="shared" si="11"/>
        <v>0</v>
      </c>
      <c r="R14" s="67">
        <f t="shared" si="12"/>
        <v>0</v>
      </c>
      <c r="S14" s="66">
        <f t="shared" si="13"/>
        <v>0</v>
      </c>
      <c r="T14" s="65">
        <f t="shared" si="14"/>
        <v>0</v>
      </c>
      <c r="U14" s="66">
        <f t="shared" si="15"/>
        <v>0</v>
      </c>
      <c r="V14" s="65">
        <f t="shared" si="16"/>
        <v>0</v>
      </c>
      <c r="W14" s="66">
        <f t="shared" si="17"/>
        <v>0</v>
      </c>
      <c r="X14" s="67">
        <f t="shared" si="18"/>
        <v>0</v>
      </c>
      <c r="Y14" s="66">
        <f t="shared" si="19"/>
        <v>0</v>
      </c>
      <c r="Z14" s="67">
        <f t="shared" si="20"/>
        <v>0</v>
      </c>
      <c r="AA14" s="66">
        <f t="shared" si="21"/>
        <v>0</v>
      </c>
      <c r="AB14" s="67">
        <f t="shared" si="22"/>
        <v>0</v>
      </c>
      <c r="AC14" s="66">
        <f t="shared" si="23"/>
        <v>0</v>
      </c>
      <c r="AD14" s="65">
        <f t="shared" si="24"/>
        <v>0</v>
      </c>
      <c r="AE14" s="66">
        <f t="shared" si="25"/>
        <v>0</v>
      </c>
      <c r="AF14" s="65">
        <f t="shared" si="26"/>
        <v>0</v>
      </c>
    </row>
    <row r="15" spans="2:32" x14ac:dyDescent="0.25">
      <c r="B15" s="68">
        <v>10</v>
      </c>
      <c r="C15" s="61"/>
      <c r="D15" s="62"/>
      <c r="E15" s="61"/>
      <c r="F15" s="63">
        <f t="shared" si="0"/>
        <v>0</v>
      </c>
      <c r="G15" s="64">
        <f t="shared" si="1"/>
        <v>0</v>
      </c>
      <c r="H15" s="65">
        <f t="shared" si="2"/>
        <v>0</v>
      </c>
      <c r="I15" s="66">
        <f t="shared" si="3"/>
        <v>0</v>
      </c>
      <c r="J15" s="65">
        <f t="shared" si="4"/>
        <v>0</v>
      </c>
      <c r="K15" s="66">
        <f t="shared" si="5"/>
        <v>0</v>
      </c>
      <c r="L15" s="67">
        <f t="shared" si="6"/>
        <v>0</v>
      </c>
      <c r="M15" s="66">
        <f t="shared" si="7"/>
        <v>0</v>
      </c>
      <c r="N15" s="67">
        <f t="shared" si="8"/>
        <v>0</v>
      </c>
      <c r="O15" s="66">
        <f t="shared" si="9"/>
        <v>0</v>
      </c>
      <c r="P15" s="67">
        <f t="shared" si="10"/>
        <v>0</v>
      </c>
      <c r="Q15" s="66">
        <f t="shared" si="11"/>
        <v>0</v>
      </c>
      <c r="R15" s="67">
        <f t="shared" si="12"/>
        <v>0</v>
      </c>
      <c r="S15" s="66">
        <f t="shared" si="13"/>
        <v>0</v>
      </c>
      <c r="T15" s="65">
        <f t="shared" si="14"/>
        <v>0</v>
      </c>
      <c r="U15" s="66">
        <f t="shared" si="15"/>
        <v>0</v>
      </c>
      <c r="V15" s="65">
        <f t="shared" si="16"/>
        <v>0</v>
      </c>
      <c r="W15" s="66">
        <f t="shared" si="17"/>
        <v>0</v>
      </c>
      <c r="X15" s="67">
        <f t="shared" si="18"/>
        <v>0</v>
      </c>
      <c r="Y15" s="66">
        <f t="shared" si="19"/>
        <v>0</v>
      </c>
      <c r="Z15" s="67">
        <f t="shared" si="20"/>
        <v>0</v>
      </c>
      <c r="AA15" s="66">
        <f t="shared" si="21"/>
        <v>0</v>
      </c>
      <c r="AB15" s="67">
        <f t="shared" si="22"/>
        <v>0</v>
      </c>
      <c r="AC15" s="66">
        <f t="shared" si="23"/>
        <v>0</v>
      </c>
      <c r="AD15" s="65">
        <f t="shared" si="24"/>
        <v>0</v>
      </c>
      <c r="AE15" s="66">
        <f t="shared" si="25"/>
        <v>0</v>
      </c>
      <c r="AF15" s="65">
        <f t="shared" si="26"/>
        <v>0</v>
      </c>
    </row>
    <row r="16" spans="2:32" x14ac:dyDescent="0.25">
      <c r="B16" s="68">
        <v>11</v>
      </c>
      <c r="C16" s="61"/>
      <c r="D16" s="69"/>
      <c r="E16" s="70"/>
      <c r="F16" s="71">
        <f t="shared" si="0"/>
        <v>0</v>
      </c>
      <c r="G16" s="64">
        <f t="shared" si="1"/>
        <v>0</v>
      </c>
      <c r="H16" s="65">
        <f t="shared" si="2"/>
        <v>0</v>
      </c>
      <c r="I16" s="66">
        <f t="shared" si="3"/>
        <v>0</v>
      </c>
      <c r="J16" s="65">
        <f t="shared" si="4"/>
        <v>0</v>
      </c>
      <c r="K16" s="66">
        <f t="shared" si="5"/>
        <v>0</v>
      </c>
      <c r="L16" s="67">
        <f t="shared" si="6"/>
        <v>0</v>
      </c>
      <c r="M16" s="66">
        <f t="shared" si="7"/>
        <v>0</v>
      </c>
      <c r="N16" s="67">
        <f t="shared" si="8"/>
        <v>0</v>
      </c>
      <c r="O16" s="66">
        <f t="shared" si="9"/>
        <v>0</v>
      </c>
      <c r="P16" s="67">
        <f t="shared" si="10"/>
        <v>0</v>
      </c>
      <c r="Q16" s="66">
        <f t="shared" si="11"/>
        <v>0</v>
      </c>
      <c r="R16" s="67">
        <f t="shared" si="12"/>
        <v>0</v>
      </c>
      <c r="S16" s="66">
        <f t="shared" si="13"/>
        <v>0</v>
      </c>
      <c r="T16" s="65">
        <f t="shared" si="14"/>
        <v>0</v>
      </c>
      <c r="U16" s="66">
        <f t="shared" si="15"/>
        <v>0</v>
      </c>
      <c r="V16" s="65">
        <f t="shared" si="16"/>
        <v>0</v>
      </c>
      <c r="W16" s="66">
        <f t="shared" si="17"/>
        <v>0</v>
      </c>
      <c r="X16" s="67">
        <f t="shared" si="18"/>
        <v>0</v>
      </c>
      <c r="Y16" s="66">
        <f t="shared" si="19"/>
        <v>0</v>
      </c>
      <c r="Z16" s="67">
        <f t="shared" si="20"/>
        <v>0</v>
      </c>
      <c r="AA16" s="66">
        <f t="shared" si="21"/>
        <v>0</v>
      </c>
      <c r="AB16" s="67">
        <f t="shared" si="22"/>
        <v>0</v>
      </c>
      <c r="AC16" s="66">
        <f t="shared" si="23"/>
        <v>0</v>
      </c>
      <c r="AD16" s="65">
        <f t="shared" si="24"/>
        <v>0</v>
      </c>
      <c r="AE16" s="66">
        <f t="shared" si="25"/>
        <v>0</v>
      </c>
      <c r="AF16" s="65">
        <f t="shared" si="26"/>
        <v>0</v>
      </c>
    </row>
    <row r="17" spans="2:46" x14ac:dyDescent="0.25">
      <c r="B17" s="68" t="s">
        <v>117</v>
      </c>
      <c r="C17" s="72" t="s">
        <v>181</v>
      </c>
      <c r="D17" s="522">
        <f>((F6*E6)+(F7*E7)+(F8*E8)+(F9*E9)+(F10*E10)+(F11*E11)+(F12*E12)+(F13*E13)+(F14*E14)+(F15*E15)+(F16*E16))</f>
        <v>4.8611111111111112E-3</v>
      </c>
      <c r="E17" s="522"/>
      <c r="F17" s="522"/>
      <c r="G17" s="510">
        <f>IFERROR(((G6*H6)+(G7*H7)+(G8*H8)+(G9*H9)+(G10*H10)+(G11*H11)+(G12*H12)+(G13*H13)+(G14*H14)+(G15*H15)+(G16*H16)),0)</f>
        <v>4.8611111111111112E-3</v>
      </c>
      <c r="H17" s="507"/>
      <c r="I17" s="507">
        <f>IFERROR(((I6*J6)+(I7*J7)+(I8*J8)+(I9*J9)+(I10*J10)+(I11*J11)+(I12*J12)+(I13*J13)+(I14*J14)+(I15*J15)+(I16*J16)),0)</f>
        <v>4.8611111111111112E-3</v>
      </c>
      <c r="J17" s="507"/>
      <c r="K17" s="507">
        <f t="shared" ref="K17" si="27">IFERROR(((K6*L6)+(K7*L7)+(K8*L8)+(K9*L9)+(K10*L10)+(K11*L11)+(K12*L12)+(K13*L13)+(K14*L14)+(K15*L15)+(K16*L16)),0)</f>
        <v>4.8611111111111112E-3</v>
      </c>
      <c r="L17" s="507"/>
      <c r="M17" s="507">
        <f t="shared" ref="M17" si="28">IFERROR(((M6*N6)+(M7*N7)+(M8*N8)+(M9*N9)+(M10*N10)+(M11*N11)+(M12*N12)+(M13*N13)+(M14*N14)+(M15*N15)+(M16*N16)),0)</f>
        <v>4.8611111111111112E-3</v>
      </c>
      <c r="N17" s="507"/>
      <c r="O17" s="507">
        <f t="shared" ref="O17" si="29">IFERROR(((O6*P6)+(O7*P7)+(O8*P8)+(O9*P9)+(O10*P10)+(O11*P11)+(O12*P12)+(O13*P13)+(O14*P14)+(O15*P15)+(O16*P16)),0)</f>
        <v>4.8611111111111112E-3</v>
      </c>
      <c r="P17" s="507"/>
      <c r="Q17" s="507">
        <f t="shared" ref="Q17" si="30">IFERROR(((Q6*R6)+(Q7*R7)+(Q8*R8)+(Q9*R9)+(Q10*R10)+(Q11*R11)+(Q12*R12)+(Q13*R13)+(Q14*R14)+(Q15*R15)+(Q16*R16)),0)</f>
        <v>4.8611111111111112E-3</v>
      </c>
      <c r="R17" s="507"/>
      <c r="S17" s="507">
        <f t="shared" ref="S17" si="31">IFERROR(((S6*T6)+(S7*T7)+(S8*T8)+(S9*T9)+(S10*T10)+(S11*T11)+(S12*T12)+(S13*T13)+(S14*T14)+(S15*T15)+(S16*T16)),0)</f>
        <v>4.8611111111111112E-3</v>
      </c>
      <c r="T17" s="507"/>
      <c r="U17" s="507">
        <f t="shared" ref="U17" si="32">IFERROR(((U6*V6)+(U7*V7)+(U8*V8)+(U9*V9)+(U10*V10)+(U11*V11)+(U12*V12)+(U13*V13)+(U14*V14)+(U15*V15)+(U16*V16)),0)</f>
        <v>4.8611111111111112E-3</v>
      </c>
      <c r="V17" s="507"/>
      <c r="W17" s="507">
        <f>IFERROR(((W6*X6)+(W7*X7)+(W8*X8)+(W9*X9)+(W10*X10)+(W11*X11)+(W12*X12)+(W13*X13)+(W14*X14)+(W15*X15)+(W16*X16)),0)</f>
        <v>4.8611111111111112E-3</v>
      </c>
      <c r="X17" s="507"/>
      <c r="Y17" s="507">
        <f t="shared" ref="Y17" si="33">IFERROR(((Y6*Z6)+(Y7*Z7)+(Y8*Z8)+(Y9*Z9)+(Y10*Z10)+(Y11*Z11)+(Y12*Z12)+(Y13*Z13)+(Y14*Z14)+(Y15*Z15)+(Y16*Z16)),0)</f>
        <v>4.8611111111111112E-3</v>
      </c>
      <c r="Z17" s="507"/>
      <c r="AA17" s="507">
        <f t="shared" ref="AA17" si="34">IFERROR(((AA6*AB6)+(AA7*AB7)+(AA8*AB8)+(AA9*AB9)+(AA10*AB10)+(AA11*AB11)+(AA12*AB12)+(AA13*AB13)+(AA14*AB14)+(AA15*AB15)+(AA16*AB16)),0)</f>
        <v>4.8611111111111112E-3</v>
      </c>
      <c r="AB17" s="507"/>
      <c r="AC17" s="507">
        <f t="shared" ref="AC17" si="35">IFERROR(((AC6*AD6)+(AC7*AD7)+(AC8*AD8)+(AC9*AD9)+(AC10*AD10)+(AC11*AD11)+(AC12*AD12)+(AC13*AD13)+(AC14*AD14)+(AC15*AD15)+(AC16*AD16)),0)</f>
        <v>4.8611111111111112E-3</v>
      </c>
      <c r="AD17" s="507"/>
      <c r="AE17" s="507">
        <f t="shared" ref="AE17" si="36">IFERROR(((AE6*AF6)+(AE7*AF7)+(AE8*AF8)+(AE9*AF9)+(AE10*AF10)+(AE11*AF11)+(AE12*AF12)+(AE13*AF13)+(AE14*AF14)+(AE15*AF15)+(AE16*AF16)),0)</f>
        <v>4.8611111111111112E-3</v>
      </c>
      <c r="AF17" s="507"/>
    </row>
    <row r="18" spans="2:46" x14ac:dyDescent="0.25">
      <c r="B18" s="68" t="s">
        <v>118</v>
      </c>
      <c r="C18" s="72" t="s">
        <v>182</v>
      </c>
      <c r="D18" s="519">
        <f>LARGE(F6:F16,1)</f>
        <v>2.0833333333333333E-3</v>
      </c>
      <c r="E18" s="520"/>
      <c r="F18" s="521"/>
      <c r="G18" s="507">
        <f>LARGE(G6:G16,1)</f>
        <v>1.3888888888888889E-3</v>
      </c>
      <c r="H18" s="507"/>
      <c r="I18" s="507">
        <f>LARGE(I6:I16,1)</f>
        <v>1.0416666666666667E-3</v>
      </c>
      <c r="J18" s="507"/>
      <c r="K18" s="507">
        <f t="shared" ref="K18" si="37">LARGE(K6:K16,1)</f>
        <v>6.9444444444444447E-4</v>
      </c>
      <c r="L18" s="507"/>
      <c r="M18" s="507">
        <f t="shared" ref="M18" si="38">LARGE(M6:M16,1)</f>
        <v>5.2083333333333333E-4</v>
      </c>
      <c r="N18" s="507"/>
      <c r="O18" s="507">
        <f t="shared" ref="O18" si="39">LARGE(O6:O16,1)</f>
        <v>4.6296296296296298E-4</v>
      </c>
      <c r="P18" s="507"/>
      <c r="Q18" s="507">
        <f t="shared" ref="Q18" si="40">LARGE(Q6:Q16,1)</f>
        <v>4.1666666666666664E-4</v>
      </c>
      <c r="R18" s="507"/>
      <c r="S18" s="507">
        <f t="shared" ref="S18" si="41">LARGE(S6:S16,1)</f>
        <v>3.4722222222222224E-4</v>
      </c>
      <c r="T18" s="507"/>
      <c r="U18" s="507">
        <f t="shared" ref="U18" si="42">LARGE(U6:U16,1)</f>
        <v>2.9761904761904759E-4</v>
      </c>
      <c r="V18" s="507"/>
      <c r="W18" s="507">
        <f t="shared" ref="W18" si="43">LARGE(W6:W16,1)</f>
        <v>2.7777777777777778E-4</v>
      </c>
      <c r="X18" s="507"/>
      <c r="Y18" s="507">
        <f t="shared" ref="Y18" si="44">LARGE(Y6:Y16,1)</f>
        <v>2.6041666666666666E-4</v>
      </c>
      <c r="Z18" s="507"/>
      <c r="AA18" s="507">
        <f t="shared" ref="AA18" si="45">LARGE(AA6:AA16,1)</f>
        <v>2.3148148148148149E-4</v>
      </c>
      <c r="AB18" s="507"/>
      <c r="AC18" s="507">
        <f t="shared" ref="AC18" si="46">LARGE(AC6:AC16,1)</f>
        <v>2.0833333333333332E-4</v>
      </c>
      <c r="AD18" s="507"/>
      <c r="AE18" s="507">
        <f t="shared" ref="AE18" si="47">LARGE(AE6:AE16,1)</f>
        <v>1.9841269841269841E-4</v>
      </c>
      <c r="AF18" s="507"/>
    </row>
    <row r="19" spans="2:46" x14ac:dyDescent="0.25">
      <c r="B19" s="68" t="s">
        <v>119</v>
      </c>
      <c r="C19" s="72" t="s">
        <v>183</v>
      </c>
      <c r="D19" s="516">
        <f>SUM(E6:E16)</f>
        <v>3</v>
      </c>
      <c r="E19" s="517"/>
      <c r="F19" s="518"/>
      <c r="G19" s="515">
        <f>IFERROR((SUM(H6:H16)),0)</f>
        <v>4</v>
      </c>
      <c r="H19" s="515"/>
      <c r="I19" s="515">
        <f t="shared" ref="I19" si="48">IFERROR((SUM(J6:J16)),0)</f>
        <v>6</v>
      </c>
      <c r="J19" s="515"/>
      <c r="K19" s="515">
        <f t="shared" ref="K19" si="49">IFERROR((SUM(L6:L16)),0)</f>
        <v>7</v>
      </c>
      <c r="L19" s="515"/>
      <c r="M19" s="515">
        <f t="shared" ref="M19" si="50">IFERROR((SUM(N6:N16)),0)</f>
        <v>10</v>
      </c>
      <c r="N19" s="515"/>
      <c r="O19" s="515">
        <f t="shared" ref="O19" si="51">IFERROR((SUM(P6:P16)),0)</f>
        <v>11</v>
      </c>
      <c r="P19" s="515"/>
      <c r="Q19" s="515">
        <f t="shared" ref="Q19" si="52">IFERROR((SUM(R6:R16)),0)</f>
        <v>13</v>
      </c>
      <c r="R19" s="515"/>
      <c r="S19" s="515">
        <f t="shared" ref="S19" si="53">IFERROR((SUM(T6:T16)),0)</f>
        <v>14</v>
      </c>
      <c r="T19" s="515"/>
      <c r="U19" s="515">
        <f t="shared" ref="U19" si="54">IFERROR((SUM(V6:V16)),0)</f>
        <v>17</v>
      </c>
      <c r="V19" s="515"/>
      <c r="W19" s="515">
        <f>IFERROR((SUM(X6:X16)),0)</f>
        <v>18</v>
      </c>
      <c r="X19" s="515"/>
      <c r="Y19" s="515">
        <f t="shared" ref="Y19" si="55">IFERROR((SUM(Z6:Z16)),0)</f>
        <v>20</v>
      </c>
      <c r="Z19" s="515"/>
      <c r="AA19" s="515">
        <f t="shared" ref="AA19" si="56">IFERROR((SUM(AB6:AB16)),0)</f>
        <v>21</v>
      </c>
      <c r="AB19" s="515"/>
      <c r="AC19" s="515">
        <f t="shared" ref="AC19" si="57">IFERROR((SUM(AD6:AD16)),0)</f>
        <v>24</v>
      </c>
      <c r="AD19" s="515"/>
      <c r="AE19" s="515">
        <f t="shared" ref="AE19" si="58">IFERROR((SUM(AF6:AF16)),0)</f>
        <v>25</v>
      </c>
      <c r="AF19" s="515"/>
    </row>
    <row r="20" spans="2:46" x14ac:dyDescent="0.25">
      <c r="B20" s="68" t="s">
        <v>120</v>
      </c>
      <c r="C20" s="72" t="s">
        <v>184</v>
      </c>
      <c r="D20" s="508">
        <f>IFERROR((D18*D19),0)</f>
        <v>6.2500000000000003E-3</v>
      </c>
      <c r="E20" s="509"/>
      <c r="F20" s="510"/>
      <c r="G20" s="507">
        <f t="shared" ref="G20" si="59">(G18*G19)</f>
        <v>5.5555555555555558E-3</v>
      </c>
      <c r="H20" s="507"/>
      <c r="I20" s="507">
        <f t="shared" ref="I20" si="60">(I18*I19)</f>
        <v>6.2500000000000003E-3</v>
      </c>
      <c r="J20" s="507"/>
      <c r="K20" s="507">
        <f t="shared" ref="K20" si="61">(K18*K19)</f>
        <v>4.8611111111111112E-3</v>
      </c>
      <c r="L20" s="507"/>
      <c r="M20" s="507">
        <f t="shared" ref="M20" si="62">(M18*M19)</f>
        <v>5.208333333333333E-3</v>
      </c>
      <c r="N20" s="507"/>
      <c r="O20" s="507">
        <f t="shared" ref="O20" si="63">(O18*O19)</f>
        <v>5.092592592592593E-3</v>
      </c>
      <c r="P20" s="507"/>
      <c r="Q20" s="507">
        <f t="shared" ref="Q20" si="64">(Q18*Q19)</f>
        <v>5.416666666666666E-3</v>
      </c>
      <c r="R20" s="507"/>
      <c r="S20" s="507">
        <f t="shared" ref="S20" si="65">(S18*S19)</f>
        <v>4.8611111111111112E-3</v>
      </c>
      <c r="T20" s="507"/>
      <c r="U20" s="507">
        <f>(U18*U19)</f>
        <v>5.0595238095238089E-3</v>
      </c>
      <c r="V20" s="507"/>
      <c r="W20" s="507">
        <f>(W18*W19)</f>
        <v>5.0000000000000001E-3</v>
      </c>
      <c r="X20" s="507"/>
      <c r="Y20" s="507">
        <f t="shared" ref="Y20" si="66">(Y18*Y19)</f>
        <v>5.208333333333333E-3</v>
      </c>
      <c r="Z20" s="507"/>
      <c r="AA20" s="507">
        <f t="shared" ref="AA20" si="67">(AA18*AA19)</f>
        <v>4.8611111111111112E-3</v>
      </c>
      <c r="AB20" s="507"/>
      <c r="AC20" s="507">
        <f t="shared" ref="AC20" si="68">(AC18*AC19)</f>
        <v>4.9999999999999992E-3</v>
      </c>
      <c r="AD20" s="507"/>
      <c r="AE20" s="507">
        <f t="shared" ref="AE20" si="69">(AE18*AE19)</f>
        <v>4.96031746031746E-3</v>
      </c>
      <c r="AF20" s="507"/>
    </row>
    <row r="21" spans="2:46" s="74" customFormat="1" ht="12.75" x14ac:dyDescent="0.2">
      <c r="B21" s="73" t="s">
        <v>121</v>
      </c>
      <c r="C21" s="72" t="s">
        <v>185</v>
      </c>
      <c r="D21" s="512">
        <f>IFERROR(((D17/D20)),0)</f>
        <v>0.77777777777777779</v>
      </c>
      <c r="E21" s="513"/>
      <c r="F21" s="514"/>
      <c r="G21" s="511">
        <f>IFERROR(((G17/G20)),0)</f>
        <v>0.875</v>
      </c>
      <c r="H21" s="511"/>
      <c r="I21" s="511">
        <f t="shared" ref="I21" si="70">IFERROR(((I17/I20)),0)</f>
        <v>0.77777777777777779</v>
      </c>
      <c r="J21" s="511"/>
      <c r="K21" s="511">
        <f t="shared" ref="K21" si="71">IFERROR(((K17/K20)),0)</f>
        <v>1</v>
      </c>
      <c r="L21" s="511"/>
      <c r="M21" s="511">
        <f t="shared" ref="M21" si="72">IFERROR(((M17/M20)),0)</f>
        <v>0.93333333333333335</v>
      </c>
      <c r="N21" s="511"/>
      <c r="O21" s="511">
        <f t="shared" ref="O21" si="73">IFERROR(((O17/O20)),0)</f>
        <v>0.95454545454545447</v>
      </c>
      <c r="P21" s="511"/>
      <c r="Q21" s="511">
        <f t="shared" ref="Q21" si="74">IFERROR(((Q17/Q20)),0)</f>
        <v>0.89743589743589758</v>
      </c>
      <c r="R21" s="511"/>
      <c r="S21" s="511">
        <f t="shared" ref="S21" si="75">IFERROR(((S17/S20)),0)</f>
        <v>1</v>
      </c>
      <c r="T21" s="511"/>
      <c r="U21" s="511">
        <f t="shared" ref="U21" si="76">IFERROR(((U17/U20)),0)</f>
        <v>0.96078431372549034</v>
      </c>
      <c r="V21" s="511"/>
      <c r="W21" s="511">
        <f>IFERROR(((W17/W20)),0)</f>
        <v>0.97222222222222221</v>
      </c>
      <c r="X21" s="511"/>
      <c r="Y21" s="511">
        <f t="shared" ref="Y21" si="77">IFERROR(((Y17/Y20)),0)</f>
        <v>0.93333333333333335</v>
      </c>
      <c r="Z21" s="511"/>
      <c r="AA21" s="511">
        <f t="shared" ref="AA21" si="78">IFERROR(((AA17/AA20)),0)</f>
        <v>1</v>
      </c>
      <c r="AB21" s="511"/>
      <c r="AC21" s="511">
        <f t="shared" ref="AC21" si="79">IFERROR(((AC17/AC20)),0)</f>
        <v>0.97222222222222243</v>
      </c>
      <c r="AD21" s="511"/>
      <c r="AE21" s="511">
        <f t="shared" ref="AE21" si="80">IFERROR(((AE17/AE20)),0)</f>
        <v>0.98000000000000009</v>
      </c>
      <c r="AF21" s="511"/>
    </row>
    <row r="22" spans="2:46" x14ac:dyDescent="0.25">
      <c r="B22" s="46" t="s">
        <v>122</v>
      </c>
      <c r="C22" s="72" t="s">
        <v>186</v>
      </c>
      <c r="D22" s="508">
        <f>IFERROR(((D18)/$D$28),0)</f>
        <v>2.3148148148148147E-3</v>
      </c>
      <c r="E22" s="509"/>
      <c r="F22" s="510"/>
      <c r="G22" s="507">
        <f t="shared" ref="G22" si="81">IFERROR(((G18)/$D$28),0)</f>
        <v>1.5432098765432098E-3</v>
      </c>
      <c r="H22" s="507"/>
      <c r="I22" s="507">
        <f t="shared" ref="I22" si="82">IFERROR(((I18)/$D$28),0)</f>
        <v>1.1574074074074073E-3</v>
      </c>
      <c r="J22" s="507"/>
      <c r="K22" s="507">
        <f t="shared" ref="K22" si="83">IFERROR(((K18)/$D$28),0)</f>
        <v>7.716049382716049E-4</v>
      </c>
      <c r="L22" s="507"/>
      <c r="M22" s="507">
        <f t="shared" ref="M22" si="84">IFERROR(((M18)/$D$28),0)</f>
        <v>5.7870370370370367E-4</v>
      </c>
      <c r="N22" s="507"/>
      <c r="O22" s="507">
        <f t="shared" ref="O22" si="85">IFERROR(((O18)/$D$28),0)</f>
        <v>5.1440329218107E-4</v>
      </c>
      <c r="P22" s="507"/>
      <c r="Q22" s="507">
        <f t="shared" ref="Q22" si="86">IFERROR(((Q18)/$D$28),0)</f>
        <v>4.6296296296296293E-4</v>
      </c>
      <c r="R22" s="507"/>
      <c r="S22" s="507">
        <f t="shared" ref="S22" si="87">IFERROR(((S18)/$D$28),0)</f>
        <v>3.8580246913580245E-4</v>
      </c>
      <c r="T22" s="507"/>
      <c r="U22" s="507">
        <f t="shared" ref="U22" si="88">IFERROR(((U18)/$D$28),0)</f>
        <v>3.3068783068783067E-4</v>
      </c>
      <c r="V22" s="507"/>
      <c r="W22" s="507">
        <f t="shared" ref="W22" si="89">IFERROR(((W18)/$D$28),0)</f>
        <v>3.0864197530864197E-4</v>
      </c>
      <c r="X22" s="507"/>
      <c r="Y22" s="507">
        <f t="shared" ref="Y22" si="90">IFERROR(((Y18)/$D$28),0)</f>
        <v>2.8935185185185184E-4</v>
      </c>
      <c r="Z22" s="507"/>
      <c r="AA22" s="507">
        <f t="shared" ref="AA22" si="91">IFERROR(((AA18)/$D$28),0)</f>
        <v>2.57201646090535E-4</v>
      </c>
      <c r="AB22" s="507"/>
      <c r="AC22" s="507">
        <f t="shared" ref="AC22" si="92">IFERROR(((AC18)/$D$28),0)</f>
        <v>2.3148148148148146E-4</v>
      </c>
      <c r="AD22" s="507"/>
      <c r="AE22" s="507">
        <f t="shared" ref="AE22" si="93">IFERROR(((AE18)/$D$28),0)</f>
        <v>2.2045855379188711E-4</v>
      </c>
      <c r="AF22" s="507"/>
    </row>
    <row r="23" spans="2:46" x14ac:dyDescent="0.25">
      <c r="B23" s="46" t="s">
        <v>187</v>
      </c>
      <c r="C23" s="72" t="s">
        <v>188</v>
      </c>
      <c r="D23" s="501">
        <f>IFERROR((60/(D22*1440)),0)</f>
        <v>18</v>
      </c>
      <c r="E23" s="502"/>
      <c r="F23" s="503"/>
      <c r="G23" s="499">
        <f t="shared" ref="G23" si="94">IFERROR((60/(G22*1440)),0)</f>
        <v>27</v>
      </c>
      <c r="H23" s="499"/>
      <c r="I23" s="499">
        <f t="shared" ref="I23" si="95">IFERROR((60/(I22*1440)),0)</f>
        <v>36</v>
      </c>
      <c r="J23" s="499"/>
      <c r="K23" s="499">
        <f t="shared" ref="K23" si="96">IFERROR((60/(K22*1440)),0)</f>
        <v>54</v>
      </c>
      <c r="L23" s="499"/>
      <c r="M23" s="499">
        <f t="shared" ref="M23" si="97">IFERROR((60/(M22*1440)),0)</f>
        <v>72</v>
      </c>
      <c r="N23" s="499"/>
      <c r="O23" s="499">
        <f t="shared" ref="O23" si="98">IFERROR((60/(O22*1440)),0)</f>
        <v>80.999999999999986</v>
      </c>
      <c r="P23" s="499"/>
      <c r="Q23" s="499">
        <f t="shared" ref="Q23" si="99">IFERROR((60/(Q22*1440)),0)</f>
        <v>90</v>
      </c>
      <c r="R23" s="499"/>
      <c r="S23" s="499">
        <f t="shared" ref="S23" si="100">IFERROR((60/(S22*1440)),0)</f>
        <v>108</v>
      </c>
      <c r="T23" s="499"/>
      <c r="U23" s="499">
        <f t="shared" ref="U23" si="101">IFERROR((60/(U22*1440)),0)</f>
        <v>126</v>
      </c>
      <c r="V23" s="499"/>
      <c r="W23" s="499">
        <f t="shared" ref="W23" si="102">IFERROR((60/(W22*1440)),0)</f>
        <v>135</v>
      </c>
      <c r="X23" s="499"/>
      <c r="Y23" s="499">
        <f t="shared" ref="Y23" si="103">IFERROR((60/(Y22*1440)),0)</f>
        <v>144</v>
      </c>
      <c r="Z23" s="499"/>
      <c r="AA23" s="499">
        <f t="shared" ref="AA23" si="104">IFERROR((60/(AA22*1440)),0)</f>
        <v>161.99999999999997</v>
      </c>
      <c r="AB23" s="499"/>
      <c r="AC23" s="499">
        <f t="shared" ref="AC23" si="105">IFERROR((60/(AC22*1440)),0)</f>
        <v>180</v>
      </c>
      <c r="AD23" s="499"/>
      <c r="AE23" s="499">
        <f t="shared" ref="AE23" si="106">IFERROR((60/(AE22*1440)),0)</f>
        <v>189</v>
      </c>
      <c r="AF23" s="499"/>
    </row>
    <row r="24" spans="2:46" x14ac:dyDescent="0.25">
      <c r="B24" s="46" t="s">
        <v>189</v>
      </c>
      <c r="C24" s="72" t="s">
        <v>190</v>
      </c>
      <c r="D24" s="504">
        <v>60</v>
      </c>
      <c r="E24" s="505"/>
      <c r="F24" s="506"/>
      <c r="G24" s="500">
        <f t="shared" ref="G24" si="107">INT(G23*24*$D$29)</f>
        <v>216</v>
      </c>
      <c r="H24" s="500"/>
      <c r="I24" s="500">
        <f t="shared" ref="I24" si="108">INT(I23*24*$D$29)</f>
        <v>288</v>
      </c>
      <c r="J24" s="500"/>
      <c r="K24" s="500">
        <f t="shared" ref="K24" si="109">INT(K23*24*$D$29)</f>
        <v>432</v>
      </c>
      <c r="L24" s="500"/>
      <c r="M24" s="500">
        <f t="shared" ref="M24" si="110">INT(M23*24*$D$29)</f>
        <v>576</v>
      </c>
      <c r="N24" s="500"/>
      <c r="O24" s="500">
        <f t="shared" ref="O24" si="111">INT(O23*24*$D$29)</f>
        <v>648</v>
      </c>
      <c r="P24" s="500"/>
      <c r="Q24" s="500">
        <f t="shared" ref="Q24" si="112">INT(Q23*24*$D$29)</f>
        <v>720</v>
      </c>
      <c r="R24" s="500"/>
      <c r="S24" s="500">
        <f t="shared" ref="S24" si="113">INT(S23*24*$D$29)</f>
        <v>864</v>
      </c>
      <c r="T24" s="500"/>
      <c r="U24" s="500">
        <f t="shared" ref="U24" si="114">INT(U23*24*$D$29)</f>
        <v>1008</v>
      </c>
      <c r="V24" s="500"/>
      <c r="W24" s="500">
        <f t="shared" ref="W24" si="115">INT(W23*24*$D$29)</f>
        <v>1080</v>
      </c>
      <c r="X24" s="500"/>
      <c r="Y24" s="500">
        <f t="shared" ref="Y24" si="116">INT(Y23*24*$D$29)</f>
        <v>1152</v>
      </c>
      <c r="Z24" s="500"/>
      <c r="AA24" s="500">
        <f t="shared" ref="AA24" si="117">INT(AA23*24*$D$29)</f>
        <v>1296</v>
      </c>
      <c r="AB24" s="500"/>
      <c r="AC24" s="500">
        <f t="shared" ref="AC24" si="118">INT(AC23*24*$D$29)</f>
        <v>1440</v>
      </c>
      <c r="AD24" s="500"/>
      <c r="AE24" s="500">
        <f t="shared" ref="AE24" si="119">INT(AE23*24*$D$29)</f>
        <v>1512</v>
      </c>
      <c r="AF24" s="500"/>
    </row>
    <row r="25" spans="2:46" x14ac:dyDescent="0.25">
      <c r="B25" s="46" t="s">
        <v>191</v>
      </c>
      <c r="C25" s="72" t="s">
        <v>192</v>
      </c>
      <c r="D25" s="501">
        <f>IFERROR((D24/D19),0)</f>
        <v>20</v>
      </c>
      <c r="E25" s="502"/>
      <c r="F25" s="503"/>
      <c r="G25" s="499">
        <f t="shared" ref="G25" si="120">IFERROR((G24/G19),0)</f>
        <v>54</v>
      </c>
      <c r="H25" s="499"/>
      <c r="I25" s="499">
        <f t="shared" ref="I25" si="121">IFERROR((I24/I19),0)</f>
        <v>48</v>
      </c>
      <c r="J25" s="499"/>
      <c r="K25" s="499">
        <f t="shared" ref="K25" si="122">IFERROR((K24/K19),0)</f>
        <v>61.714285714285715</v>
      </c>
      <c r="L25" s="499"/>
      <c r="M25" s="499">
        <f t="shared" ref="M25" si="123">IFERROR((M24/M19),0)</f>
        <v>57.6</v>
      </c>
      <c r="N25" s="499"/>
      <c r="O25" s="499">
        <f t="shared" ref="O25" si="124">IFERROR((O24/O19),0)</f>
        <v>58.909090909090907</v>
      </c>
      <c r="P25" s="499"/>
      <c r="Q25" s="499">
        <f t="shared" ref="Q25" si="125">IFERROR((Q24/Q19),0)</f>
        <v>55.384615384615387</v>
      </c>
      <c r="R25" s="499"/>
      <c r="S25" s="499">
        <f t="shared" ref="S25" si="126">IFERROR((S24/S19),0)</f>
        <v>61.714285714285715</v>
      </c>
      <c r="T25" s="499"/>
      <c r="U25" s="499">
        <f t="shared" ref="U25" si="127">IFERROR((U24/U19),0)</f>
        <v>59.294117647058826</v>
      </c>
      <c r="V25" s="499"/>
      <c r="W25" s="499">
        <f t="shared" ref="W25" si="128">IFERROR((W24/W19),0)</f>
        <v>60</v>
      </c>
      <c r="X25" s="499"/>
      <c r="Y25" s="499">
        <f t="shared" ref="Y25" si="129">IFERROR((Y24/Y19),0)</f>
        <v>57.6</v>
      </c>
      <c r="Z25" s="499"/>
      <c r="AA25" s="499">
        <f t="shared" ref="AA25" si="130">IFERROR((AA24/AA19),0)</f>
        <v>61.714285714285715</v>
      </c>
      <c r="AB25" s="499"/>
      <c r="AC25" s="499">
        <f t="shared" ref="AC25" si="131">IFERROR((AC24/AC19),0)</f>
        <v>60</v>
      </c>
      <c r="AD25" s="499"/>
      <c r="AE25" s="499">
        <f t="shared" ref="AE25" si="132">IFERROR((AE24/AE19),0)</f>
        <v>60.48</v>
      </c>
      <c r="AF25" s="499"/>
    </row>
    <row r="26" spans="2:46" x14ac:dyDescent="0.25">
      <c r="B26" s="46" t="s">
        <v>193</v>
      </c>
      <c r="C26" s="72" t="s">
        <v>194</v>
      </c>
      <c r="D26" s="496">
        <f>IFERROR((((D19*$D$30))/D24),0)</f>
        <v>10</v>
      </c>
      <c r="E26" s="497"/>
      <c r="F26" s="498"/>
      <c r="G26" s="495">
        <f t="shared" ref="G26" si="133">IFERROR((((G19*$D$30))/G24),0)</f>
        <v>3.7037037037037037</v>
      </c>
      <c r="H26" s="495"/>
      <c r="I26" s="495">
        <f t="shared" ref="I26" si="134">IFERROR((((I19*$D$30))/I24),0)</f>
        <v>4.166666666666667</v>
      </c>
      <c r="J26" s="495"/>
      <c r="K26" s="495">
        <f t="shared" ref="K26" si="135">IFERROR((((K19*$D$30))/K24),0)</f>
        <v>3.2407407407407409</v>
      </c>
      <c r="L26" s="495"/>
      <c r="M26" s="495">
        <f t="shared" ref="M26" si="136">IFERROR((((M19*$D$30))/M24),0)</f>
        <v>3.4722222222222223</v>
      </c>
      <c r="N26" s="495"/>
      <c r="O26" s="495">
        <f t="shared" ref="O26" si="137">IFERROR((((O19*$D$30))/O24),0)</f>
        <v>3.3950617283950617</v>
      </c>
      <c r="P26" s="495"/>
      <c r="Q26" s="495">
        <f t="shared" ref="Q26" si="138">IFERROR((((Q19*$D$30))/Q24),0)</f>
        <v>3.6111111111111112</v>
      </c>
      <c r="R26" s="495"/>
      <c r="S26" s="495">
        <f t="shared" ref="S26" si="139">IFERROR((((S19*$D$30))/S24),0)</f>
        <v>3.2407407407407409</v>
      </c>
      <c r="T26" s="495"/>
      <c r="U26" s="495">
        <f t="shared" ref="U26" si="140">IFERROR((((U19*$D$30))/U24),0)</f>
        <v>3.373015873015873</v>
      </c>
      <c r="V26" s="495"/>
      <c r="W26" s="495">
        <f t="shared" ref="W26" si="141">IFERROR((((W19*$D$30))/W24),0)</f>
        <v>3.3333333333333335</v>
      </c>
      <c r="X26" s="495"/>
      <c r="Y26" s="495">
        <f t="shared" ref="Y26" si="142">IFERROR((((Y19*$D$30))/Y24),0)</f>
        <v>3.4722222222222223</v>
      </c>
      <c r="Z26" s="495"/>
      <c r="AA26" s="495">
        <f t="shared" ref="AA26" si="143">IFERROR((((AA19*$D$30))/AA24),0)</f>
        <v>3.2407407407407409</v>
      </c>
      <c r="AB26" s="495"/>
      <c r="AC26" s="495">
        <f t="shared" ref="AC26" si="144">IFERROR((((AC19*$D$30))/AC24),0)</f>
        <v>3.3333333333333335</v>
      </c>
      <c r="AD26" s="495"/>
      <c r="AE26" s="495">
        <f t="shared" ref="AE26" si="145">IFERROR((((AE19*$D$30))/AE24),0)</f>
        <v>3.306878306878307</v>
      </c>
      <c r="AF26" s="495"/>
    </row>
    <row r="27" spans="2:46" x14ac:dyDescent="0.25">
      <c r="D27" s="494">
        <v>1</v>
      </c>
      <c r="E27" s="494"/>
      <c r="F27" s="75"/>
      <c r="G27" s="494">
        <v>2</v>
      </c>
      <c r="H27" s="494"/>
      <c r="I27" s="494">
        <v>3</v>
      </c>
      <c r="J27" s="494"/>
      <c r="K27" s="494">
        <v>4</v>
      </c>
      <c r="L27" s="494"/>
      <c r="M27" s="494">
        <v>5</v>
      </c>
      <c r="N27" s="494"/>
      <c r="O27" s="494">
        <v>6</v>
      </c>
      <c r="P27" s="494"/>
      <c r="Q27" s="494">
        <v>7</v>
      </c>
      <c r="R27" s="494"/>
      <c r="S27" s="494">
        <v>8</v>
      </c>
      <c r="T27" s="494"/>
      <c r="U27" s="494">
        <v>9</v>
      </c>
      <c r="V27" s="494"/>
      <c r="W27" s="494">
        <v>10</v>
      </c>
      <c r="X27" s="494"/>
      <c r="Y27" s="494">
        <v>11</v>
      </c>
      <c r="Z27" s="494"/>
      <c r="AA27" s="494">
        <v>12</v>
      </c>
      <c r="AB27" s="494"/>
      <c r="AC27" s="494">
        <v>13</v>
      </c>
      <c r="AD27" s="494"/>
      <c r="AE27" s="494">
        <v>14</v>
      </c>
      <c r="AF27" s="494"/>
    </row>
    <row r="28" spans="2:46" x14ac:dyDescent="0.25">
      <c r="B28" s="477" t="s">
        <v>195</v>
      </c>
      <c r="C28" s="477"/>
      <c r="D28" s="76">
        <v>0.9</v>
      </c>
      <c r="G28" s="477" t="s">
        <v>196</v>
      </c>
      <c r="H28" s="477"/>
      <c r="I28" s="477"/>
      <c r="J28" s="478"/>
      <c r="K28" s="488">
        <v>0</v>
      </c>
      <c r="L28" s="488"/>
      <c r="O28" s="490" t="s">
        <v>197</v>
      </c>
      <c r="P28" s="490"/>
      <c r="Q28" s="490"/>
      <c r="R28" s="490"/>
      <c r="S28" s="491">
        <f>SMALL(D26:AF26,1)</f>
        <v>3.2407407407407409</v>
      </c>
      <c r="T28" s="492"/>
      <c r="V28" s="493" t="s">
        <v>198</v>
      </c>
      <c r="W28" s="493"/>
      <c r="X28" s="493"/>
      <c r="Y28" s="493"/>
      <c r="Z28" s="493"/>
      <c r="AA28" s="485">
        <f>(LARGE(D21:AF21,1))</f>
        <v>1</v>
      </c>
      <c r="AB28" s="485"/>
      <c r="AG28" s="77"/>
      <c r="AH28" s="77"/>
      <c r="AI28" s="77"/>
      <c r="AJ28" s="77"/>
      <c r="AK28" s="77"/>
      <c r="AL28" s="77"/>
      <c r="AM28" s="77"/>
      <c r="AN28" s="77"/>
      <c r="AO28" s="77"/>
      <c r="AP28" s="77"/>
      <c r="AQ28" s="77"/>
      <c r="AR28" s="77"/>
      <c r="AS28" s="77"/>
      <c r="AT28" s="77"/>
    </row>
    <row r="29" spans="2:46" x14ac:dyDescent="0.25">
      <c r="B29" s="478" t="s">
        <v>199</v>
      </c>
      <c r="C29" s="479"/>
      <c r="D29" s="78">
        <v>0.33333333333333331</v>
      </c>
      <c r="G29" s="486" t="s">
        <v>200</v>
      </c>
      <c r="H29" s="487"/>
      <c r="I29" s="487"/>
      <c r="J29" s="487"/>
      <c r="K29" s="488">
        <v>0</v>
      </c>
      <c r="L29" s="488"/>
      <c r="O29" s="490"/>
      <c r="P29" s="490"/>
      <c r="Q29" s="490"/>
      <c r="R29" s="490"/>
      <c r="S29" s="478" t="str">
        <f>IF(S28=D26,D3,IF(S28=G26,G3,IF(S28=I26,I3,IF(S28=K26,K3,IF(S28=M26,M3,IF(S28=O26,O3,IF(S28=Q26,Q3,IF(S28=S26,S3,IF(S28=U26,U3,IF(S28=W26,W3,IF(S28=Y26,Y3:X,IF(S28=AA26,AA3,IF(S28=AC26,AC3,IF(S28=AE26,AE3," "))))))))))))))</f>
        <v>ITERACION 4</v>
      </c>
      <c r="T29" s="480"/>
      <c r="V29" s="493"/>
      <c r="W29" s="493"/>
      <c r="X29" s="493"/>
      <c r="Y29" s="493"/>
      <c r="Z29" s="493"/>
      <c r="AA29" s="489" t="str">
        <f>IF(AA28=D21,D3,IF(AA28=G21,G3,IF(AA28=I21,I3,IF(AA28=K21,K3,IF(AA28=M21,M3,IF(AA28=O21,O3,IF(AA28=Q21,Q3,IF(AA28=S21,S3,IF(AA28=U21,U3,IF(AA28=W21,W3,IF(AA28=Y21,Y3:X,IF(AA28=AA21,AA3,IF(AA28=AC21,AC3,IF(AA28=AE21,AE3," "))))))))))))))</f>
        <v>ITERACION 4</v>
      </c>
      <c r="AB29" s="489"/>
      <c r="AG29" s="77"/>
      <c r="AH29" s="77"/>
      <c r="AI29" s="77"/>
      <c r="AJ29" s="77"/>
      <c r="AK29" s="77"/>
      <c r="AL29" s="77"/>
      <c r="AM29" s="77"/>
      <c r="AN29" s="77"/>
      <c r="AO29" s="77"/>
      <c r="AP29" s="77"/>
      <c r="AQ29" s="77"/>
      <c r="AR29" s="77"/>
      <c r="AS29" s="77"/>
      <c r="AT29" s="77"/>
    </row>
    <row r="30" spans="2:46" x14ac:dyDescent="0.25">
      <c r="B30" s="477" t="s">
        <v>201</v>
      </c>
      <c r="C30" s="478"/>
      <c r="D30" s="79">
        <v>200</v>
      </c>
      <c r="G30" s="478" t="s">
        <v>202</v>
      </c>
      <c r="H30" s="479"/>
      <c r="I30" s="479"/>
      <c r="J30" s="480"/>
      <c r="K30" s="481">
        <f>D29</f>
        <v>0.33333333333333331</v>
      </c>
      <c r="L30" s="481"/>
      <c r="S30" s="482">
        <f>IF(S28=D26,D19,IF(S28=G26,G19,IF(S28=I26,I19,IF(S28=K26,K19,IF(S28=M26,M19,IF(S28=O26,O19,IF(S28=Q26,Q19,IF(S28=S26,S19,IF(S28=U26,U19,IF(S28=W26,W19,IF(S28=Y26,Y19:X,IF(S28=AA26,AA19,IF(S28=AC26,AC19,IF(S28=AE26,AE19," "))))))))))))))</f>
        <v>7</v>
      </c>
      <c r="T30" s="482"/>
      <c r="V30" s="80"/>
      <c r="W30" s="80"/>
      <c r="X30" s="80"/>
      <c r="Y30" s="80"/>
      <c r="Z30" s="80"/>
      <c r="AA30" s="80"/>
      <c r="AB30" s="80"/>
    </row>
    <row r="31" spans="2:46" x14ac:dyDescent="0.25">
      <c r="O31" s="483"/>
      <c r="P31" s="483"/>
      <c r="Q31" s="483"/>
      <c r="R31" s="483"/>
      <c r="S31" s="484"/>
      <c r="T31" s="484"/>
      <c r="V31" s="473"/>
      <c r="W31" s="473"/>
      <c r="X31" s="473"/>
      <c r="Y31" s="473"/>
      <c r="Z31" s="473"/>
      <c r="AA31" s="474"/>
      <c r="AB31" s="474"/>
    </row>
    <row r="32" spans="2:46" x14ac:dyDescent="0.25">
      <c r="O32" s="483"/>
      <c r="P32" s="483"/>
      <c r="Q32" s="483"/>
      <c r="R32" s="483"/>
      <c r="S32" s="475"/>
      <c r="T32" s="475"/>
      <c r="V32" s="473"/>
      <c r="W32" s="473"/>
      <c r="X32" s="473"/>
      <c r="Y32" s="473"/>
      <c r="Z32" s="473"/>
      <c r="AA32" s="474"/>
      <c r="AB32" s="474"/>
    </row>
    <row r="49" spans="1:32" s="82" customFormat="1" ht="15" customHeight="1" x14ac:dyDescent="0.25">
      <c r="A49"/>
      <c r="B49" s="476"/>
      <c r="C49" s="476"/>
      <c r="D49" s="476"/>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81"/>
    </row>
  </sheetData>
  <mergeCells count="222">
    <mergeCell ref="B2:AF2"/>
    <mergeCell ref="B3:B5"/>
    <mergeCell ref="C3:C5"/>
    <mergeCell ref="D3:F3"/>
    <mergeCell ref="G3:H3"/>
    <mergeCell ref="I3:J3"/>
    <mergeCell ref="K3:L3"/>
    <mergeCell ref="M3:N3"/>
    <mergeCell ref="O3:P3"/>
    <mergeCell ref="Q3:R3"/>
    <mergeCell ref="N4:N5"/>
    <mergeCell ref="O4:O5"/>
    <mergeCell ref="P4:P5"/>
    <mergeCell ref="Q4:Q5"/>
    <mergeCell ref="R4:R5"/>
    <mergeCell ref="AE3:AF3"/>
    <mergeCell ref="D4:D5"/>
    <mergeCell ref="E4:E5"/>
    <mergeCell ref="F4:F5"/>
    <mergeCell ref="G4:G5"/>
    <mergeCell ref="H4:H5"/>
    <mergeCell ref="I4:I5"/>
    <mergeCell ref="J4:J5"/>
    <mergeCell ref="K4:K5"/>
    <mergeCell ref="S3:T3"/>
    <mergeCell ref="U3:V3"/>
    <mergeCell ref="W3:X3"/>
    <mergeCell ref="Y3:Z3"/>
    <mergeCell ref="AA3:AB3"/>
    <mergeCell ref="AC3:AD3"/>
    <mergeCell ref="AE17:AF17"/>
    <mergeCell ref="AE4:AE5"/>
    <mergeCell ref="AF4:AF5"/>
    <mergeCell ref="Z4:Z5"/>
    <mergeCell ref="AA4:AA5"/>
    <mergeCell ref="AB4:AB5"/>
    <mergeCell ref="AC4:AC5"/>
    <mergeCell ref="AD4:AD5"/>
    <mergeCell ref="D17:F17"/>
    <mergeCell ref="G17:H17"/>
    <mergeCell ref="I17:J17"/>
    <mergeCell ref="K17:L17"/>
    <mergeCell ref="M17:N17"/>
    <mergeCell ref="O17:P17"/>
    <mergeCell ref="Q17:R17"/>
    <mergeCell ref="S17:T17"/>
    <mergeCell ref="Y4:Y5"/>
    <mergeCell ref="S4:S5"/>
    <mergeCell ref="T4:T5"/>
    <mergeCell ref="U4:U5"/>
    <mergeCell ref="V4:V5"/>
    <mergeCell ref="W4:W5"/>
    <mergeCell ref="X4:X5"/>
    <mergeCell ref="M4:M5"/>
    <mergeCell ref="L4:L5"/>
    <mergeCell ref="I18:J18"/>
    <mergeCell ref="K18:L18"/>
    <mergeCell ref="M18:N18"/>
    <mergeCell ref="O18:P18"/>
    <mergeCell ref="U17:V17"/>
    <mergeCell ref="W17:X17"/>
    <mergeCell ref="Y17:Z17"/>
    <mergeCell ref="AA17:AB17"/>
    <mergeCell ref="AC17:AD17"/>
    <mergeCell ref="U19:V19"/>
    <mergeCell ref="W19:X19"/>
    <mergeCell ref="Y19:Z19"/>
    <mergeCell ref="AA19:AB19"/>
    <mergeCell ref="AC19:AD19"/>
    <mergeCell ref="AE19:AF19"/>
    <mergeCell ref="AC18:AD18"/>
    <mergeCell ref="AE18:AF18"/>
    <mergeCell ref="D19:F19"/>
    <mergeCell ref="G19:H19"/>
    <mergeCell ref="I19:J19"/>
    <mergeCell ref="K19:L19"/>
    <mergeCell ref="M19:N19"/>
    <mergeCell ref="O19:P19"/>
    <mergeCell ref="Q19:R19"/>
    <mergeCell ref="S19:T19"/>
    <mergeCell ref="Q18:R18"/>
    <mergeCell ref="S18:T18"/>
    <mergeCell ref="U18:V18"/>
    <mergeCell ref="W18:X18"/>
    <mergeCell ref="Y18:Z18"/>
    <mergeCell ref="AA18:AB18"/>
    <mergeCell ref="D18:F18"/>
    <mergeCell ref="G18:H18"/>
    <mergeCell ref="AE21:AF21"/>
    <mergeCell ref="AC20:AD20"/>
    <mergeCell ref="AE20:AF20"/>
    <mergeCell ref="D21:F21"/>
    <mergeCell ref="G21:H21"/>
    <mergeCell ref="I21:J21"/>
    <mergeCell ref="K21:L21"/>
    <mergeCell ref="M21:N21"/>
    <mergeCell ref="O21:P21"/>
    <mergeCell ref="Q21:R21"/>
    <mergeCell ref="S21:T21"/>
    <mergeCell ref="Q20:R20"/>
    <mergeCell ref="S20:T20"/>
    <mergeCell ref="U20:V20"/>
    <mergeCell ref="W20:X20"/>
    <mergeCell ref="Y20:Z20"/>
    <mergeCell ref="AA20:AB20"/>
    <mergeCell ref="D20:F20"/>
    <mergeCell ref="G20:H20"/>
    <mergeCell ref="I20:J20"/>
    <mergeCell ref="K20:L20"/>
    <mergeCell ref="M20:N20"/>
    <mergeCell ref="O20:P20"/>
    <mergeCell ref="I22:J22"/>
    <mergeCell ref="K22:L22"/>
    <mergeCell ref="M22:N22"/>
    <mergeCell ref="O22:P22"/>
    <mergeCell ref="U21:V21"/>
    <mergeCell ref="W21:X21"/>
    <mergeCell ref="Y21:Z21"/>
    <mergeCell ref="AA21:AB21"/>
    <mergeCell ref="AC21:AD21"/>
    <mergeCell ref="U23:V23"/>
    <mergeCell ref="W23:X23"/>
    <mergeCell ref="Y23:Z23"/>
    <mergeCell ref="AA23:AB23"/>
    <mergeCell ref="AC23:AD23"/>
    <mergeCell ref="AE23:AF23"/>
    <mergeCell ref="AC22:AD22"/>
    <mergeCell ref="AE22:AF22"/>
    <mergeCell ref="D23:F23"/>
    <mergeCell ref="G23:H23"/>
    <mergeCell ref="I23:J23"/>
    <mergeCell ref="K23:L23"/>
    <mergeCell ref="M23:N23"/>
    <mergeCell ref="O23:P23"/>
    <mergeCell ref="Q23:R23"/>
    <mergeCell ref="S23:T23"/>
    <mergeCell ref="Q22:R22"/>
    <mergeCell ref="S22:T22"/>
    <mergeCell ref="U22:V22"/>
    <mergeCell ref="W22:X22"/>
    <mergeCell ref="Y22:Z22"/>
    <mergeCell ref="AA22:AB22"/>
    <mergeCell ref="D22:F22"/>
    <mergeCell ref="G22:H22"/>
    <mergeCell ref="AE25:AF25"/>
    <mergeCell ref="AC24:AD24"/>
    <mergeCell ref="AE24:AF24"/>
    <mergeCell ref="D25:F25"/>
    <mergeCell ref="G25:H25"/>
    <mergeCell ref="I25:J25"/>
    <mergeCell ref="K25:L25"/>
    <mergeCell ref="M25:N25"/>
    <mergeCell ref="O25:P25"/>
    <mergeCell ref="Q25:R25"/>
    <mergeCell ref="S25:T25"/>
    <mergeCell ref="Q24:R24"/>
    <mergeCell ref="S24:T24"/>
    <mergeCell ref="U24:V24"/>
    <mergeCell ref="W24:X24"/>
    <mergeCell ref="Y24:Z24"/>
    <mergeCell ref="AA24:AB24"/>
    <mergeCell ref="D24:F24"/>
    <mergeCell ref="G24:H24"/>
    <mergeCell ref="I24:J24"/>
    <mergeCell ref="K24:L24"/>
    <mergeCell ref="M24:N24"/>
    <mergeCell ref="O24:P24"/>
    <mergeCell ref="I26:J26"/>
    <mergeCell ref="K26:L26"/>
    <mergeCell ref="M26:N26"/>
    <mergeCell ref="O26:P26"/>
    <mergeCell ref="U25:V25"/>
    <mergeCell ref="W25:X25"/>
    <mergeCell ref="Y25:Z25"/>
    <mergeCell ref="AA25:AB25"/>
    <mergeCell ref="AC25:AD25"/>
    <mergeCell ref="U27:V27"/>
    <mergeCell ref="W27:X27"/>
    <mergeCell ref="Y27:Z27"/>
    <mergeCell ref="AA27:AB27"/>
    <mergeCell ref="AC27:AD27"/>
    <mergeCell ref="AE27:AF27"/>
    <mergeCell ref="AC26:AD26"/>
    <mergeCell ref="AE26:AF26"/>
    <mergeCell ref="D27:E27"/>
    <mergeCell ref="G27:H27"/>
    <mergeCell ref="I27:J27"/>
    <mergeCell ref="K27:L27"/>
    <mergeCell ref="M27:N27"/>
    <mergeCell ref="O27:P27"/>
    <mergeCell ref="Q27:R27"/>
    <mergeCell ref="S27:T27"/>
    <mergeCell ref="Q26:R26"/>
    <mergeCell ref="S26:T26"/>
    <mergeCell ref="U26:V26"/>
    <mergeCell ref="W26:X26"/>
    <mergeCell ref="Y26:Z26"/>
    <mergeCell ref="AA26:AB26"/>
    <mergeCell ref="D26:F26"/>
    <mergeCell ref="G26:H26"/>
    <mergeCell ref="AA28:AB28"/>
    <mergeCell ref="B29:C29"/>
    <mergeCell ref="G29:J29"/>
    <mergeCell ref="K29:L29"/>
    <mergeCell ref="S29:T29"/>
    <mergeCell ref="AA29:AB29"/>
    <mergeCell ref="B28:C28"/>
    <mergeCell ref="G28:J28"/>
    <mergeCell ref="K28:L28"/>
    <mergeCell ref="O28:R29"/>
    <mergeCell ref="S28:T28"/>
    <mergeCell ref="V28:Z29"/>
    <mergeCell ref="V31:Z32"/>
    <mergeCell ref="AA31:AB32"/>
    <mergeCell ref="S32:T32"/>
    <mergeCell ref="B49:AE49"/>
    <mergeCell ref="B30:C30"/>
    <mergeCell ref="G30:J30"/>
    <mergeCell ref="K30:L30"/>
    <mergeCell ref="S30:T30"/>
    <mergeCell ref="O31:R32"/>
    <mergeCell ref="S31:T31"/>
  </mergeCells>
  <pageMargins left="0.7" right="0.7" top="0.75" bottom="0.75" header="0.3" footer="0.3"/>
  <pageSetup paperSize="5" orientation="landscape"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H32"/>
  <sheetViews>
    <sheetView showGridLines="0" zoomScale="80" zoomScaleNormal="80" workbookViewId="0">
      <selection activeCell="M25" sqref="M25"/>
    </sheetView>
  </sheetViews>
  <sheetFormatPr baseColWidth="10" defaultColWidth="10.7109375" defaultRowHeight="15" x14ac:dyDescent="0.25"/>
  <cols>
    <col min="1" max="1" width="2.28515625" customWidth="1"/>
    <col min="2" max="2" width="17.140625" customWidth="1"/>
    <col min="3" max="3" width="14.5703125" customWidth="1"/>
    <col min="4" max="4" width="14.42578125" customWidth="1"/>
    <col min="5" max="5" width="18.28515625" customWidth="1"/>
    <col min="6" max="6" width="17.42578125" customWidth="1"/>
    <col min="7" max="7" width="12.5703125" bestFit="1" customWidth="1"/>
    <col min="8" max="8" width="27.140625" customWidth="1"/>
  </cols>
  <sheetData>
    <row r="2" spans="2:8" s="83" customFormat="1" ht="33.75" x14ac:dyDescent="0.5">
      <c r="B2" s="83" t="s">
        <v>203</v>
      </c>
    </row>
    <row r="3" spans="2:8" ht="18.75" x14ac:dyDescent="0.25">
      <c r="B3" s="84" t="s">
        <v>204</v>
      </c>
      <c r="C3" s="85" t="s">
        <v>205</v>
      </c>
      <c r="D3" s="85" t="s">
        <v>206</v>
      </c>
      <c r="E3" s="85" t="s">
        <v>207</v>
      </c>
      <c r="F3" s="85" t="s">
        <v>208</v>
      </c>
      <c r="G3" s="85" t="s">
        <v>209</v>
      </c>
      <c r="H3" s="86" t="s">
        <v>210</v>
      </c>
    </row>
    <row r="4" spans="2:8" ht="17.25" x14ac:dyDescent="0.25">
      <c r="B4" s="87">
        <v>1</v>
      </c>
      <c r="C4" s="88">
        <v>1000</v>
      </c>
      <c r="D4" s="88">
        <v>854</v>
      </c>
      <c r="E4" s="88">
        <v>60</v>
      </c>
      <c r="F4" s="89">
        <f>IF(OR(D4="",D4=0),"",D4-E4)</f>
        <v>794</v>
      </c>
      <c r="G4" s="89">
        <f>IFERROR(IF(OR(C4="",D4=""),"",(C4-F4)),"")</f>
        <v>206</v>
      </c>
      <c r="H4" s="90">
        <f>IFERROR(F4/C4,"")</f>
        <v>0.79400000000000004</v>
      </c>
    </row>
    <row r="5" spans="2:8" ht="17.25" x14ac:dyDescent="0.25">
      <c r="B5" s="87">
        <v>2</v>
      </c>
      <c r="C5" s="88">
        <v>350</v>
      </c>
      <c r="D5" s="88">
        <v>120</v>
      </c>
      <c r="E5" s="88">
        <v>20</v>
      </c>
      <c r="F5" s="89">
        <f t="shared" ref="F5:F32" si="0">IF(OR(D5="",D5=0),"",D5-E5)</f>
        <v>100</v>
      </c>
      <c r="G5" s="89">
        <f t="shared" ref="G5:G32" si="1">IFERROR(IF(OR(C5="",D5=""),"",(C5-F5)),"")</f>
        <v>250</v>
      </c>
      <c r="H5" s="90">
        <f t="shared" ref="H5:H32" si="2">IFERROR(F5/C5,"")</f>
        <v>0.2857142857142857</v>
      </c>
    </row>
    <row r="6" spans="2:8" ht="17.25" x14ac:dyDescent="0.25">
      <c r="B6" s="87">
        <v>3</v>
      </c>
      <c r="C6" s="88">
        <v>500</v>
      </c>
      <c r="D6" s="88">
        <v>499</v>
      </c>
      <c r="E6" s="88">
        <v>50</v>
      </c>
      <c r="F6" s="89">
        <f t="shared" si="0"/>
        <v>449</v>
      </c>
      <c r="G6" s="89">
        <f t="shared" si="1"/>
        <v>51</v>
      </c>
      <c r="H6" s="90">
        <f t="shared" si="2"/>
        <v>0.89800000000000002</v>
      </c>
    </row>
    <row r="7" spans="2:8" ht="17.25" x14ac:dyDescent="0.25">
      <c r="B7" s="87">
        <v>4</v>
      </c>
      <c r="C7" s="88">
        <v>500</v>
      </c>
      <c r="D7" s="88">
        <v>100</v>
      </c>
      <c r="E7" s="88">
        <v>50</v>
      </c>
      <c r="F7" s="89">
        <f t="shared" si="0"/>
        <v>50</v>
      </c>
      <c r="G7" s="89">
        <f t="shared" si="1"/>
        <v>450</v>
      </c>
      <c r="H7" s="90">
        <f t="shared" si="2"/>
        <v>0.1</v>
      </c>
    </row>
    <row r="8" spans="2:8" ht="17.25" x14ac:dyDescent="0.25">
      <c r="B8" s="87">
        <v>5</v>
      </c>
      <c r="C8" s="88">
        <v>350</v>
      </c>
      <c r="D8" s="88">
        <v>120</v>
      </c>
      <c r="E8" s="88">
        <v>20</v>
      </c>
      <c r="F8" s="89">
        <f t="shared" si="0"/>
        <v>100</v>
      </c>
      <c r="G8" s="89">
        <f t="shared" si="1"/>
        <v>250</v>
      </c>
      <c r="H8" s="90">
        <f t="shared" si="2"/>
        <v>0.2857142857142857</v>
      </c>
    </row>
    <row r="9" spans="2:8" ht="17.25" x14ac:dyDescent="0.25">
      <c r="B9" s="87">
        <v>6</v>
      </c>
      <c r="C9" s="88">
        <v>350</v>
      </c>
      <c r="D9" s="88">
        <v>120</v>
      </c>
      <c r="E9" s="88">
        <v>20</v>
      </c>
      <c r="F9" s="89">
        <f t="shared" si="0"/>
        <v>100</v>
      </c>
      <c r="G9" s="89">
        <f t="shared" si="1"/>
        <v>250</v>
      </c>
      <c r="H9" s="90">
        <f t="shared" si="2"/>
        <v>0.2857142857142857</v>
      </c>
    </row>
    <row r="10" spans="2:8" ht="17.25" x14ac:dyDescent="0.25">
      <c r="B10" s="87">
        <v>7</v>
      </c>
      <c r="C10" s="88">
        <v>400</v>
      </c>
      <c r="D10" s="88">
        <v>400</v>
      </c>
      <c r="E10" s="88">
        <v>25</v>
      </c>
      <c r="F10" s="89">
        <f t="shared" si="0"/>
        <v>375</v>
      </c>
      <c r="G10" s="89">
        <f t="shared" si="1"/>
        <v>25</v>
      </c>
      <c r="H10" s="90">
        <f t="shared" si="2"/>
        <v>0.9375</v>
      </c>
    </row>
    <row r="11" spans="2:8" ht="17.25" x14ac:dyDescent="0.25">
      <c r="B11" s="87"/>
      <c r="C11" s="88"/>
      <c r="D11" s="88"/>
      <c r="E11" s="88"/>
      <c r="F11" s="89" t="str">
        <f t="shared" si="0"/>
        <v/>
      </c>
      <c r="G11" s="89" t="str">
        <f t="shared" si="1"/>
        <v/>
      </c>
      <c r="H11" s="90" t="str">
        <f t="shared" si="2"/>
        <v/>
      </c>
    </row>
    <row r="12" spans="2:8" ht="17.25" x14ac:dyDescent="0.25">
      <c r="B12" s="87"/>
      <c r="C12" s="88"/>
      <c r="D12" s="88"/>
      <c r="E12" s="88"/>
      <c r="F12" s="89" t="str">
        <f t="shared" si="0"/>
        <v/>
      </c>
      <c r="G12" s="89" t="str">
        <f t="shared" si="1"/>
        <v/>
      </c>
      <c r="H12" s="90" t="str">
        <f t="shared" si="2"/>
        <v/>
      </c>
    </row>
    <row r="13" spans="2:8" ht="17.25" x14ac:dyDescent="0.25">
      <c r="B13" s="87"/>
      <c r="C13" s="88"/>
      <c r="D13" s="88"/>
      <c r="E13" s="88"/>
      <c r="F13" s="89" t="str">
        <f t="shared" si="0"/>
        <v/>
      </c>
      <c r="G13" s="89" t="str">
        <f t="shared" si="1"/>
        <v/>
      </c>
      <c r="H13" s="90" t="str">
        <f t="shared" si="2"/>
        <v/>
      </c>
    </row>
    <row r="14" spans="2:8" ht="17.25" x14ac:dyDescent="0.25">
      <c r="B14" s="87"/>
      <c r="C14" s="88"/>
      <c r="D14" s="88"/>
      <c r="E14" s="88"/>
      <c r="F14" s="89" t="str">
        <f t="shared" si="0"/>
        <v/>
      </c>
      <c r="G14" s="89" t="str">
        <f t="shared" si="1"/>
        <v/>
      </c>
      <c r="H14" s="90" t="str">
        <f t="shared" si="2"/>
        <v/>
      </c>
    </row>
    <row r="15" spans="2:8" ht="17.25" x14ac:dyDescent="0.25">
      <c r="B15" s="87"/>
      <c r="C15" s="88"/>
      <c r="D15" s="88"/>
      <c r="E15" s="88"/>
      <c r="F15" s="89" t="str">
        <f t="shared" si="0"/>
        <v/>
      </c>
      <c r="G15" s="89" t="str">
        <f t="shared" si="1"/>
        <v/>
      </c>
      <c r="H15" s="90" t="str">
        <f t="shared" si="2"/>
        <v/>
      </c>
    </row>
    <row r="16" spans="2:8" ht="17.25" x14ac:dyDescent="0.25">
      <c r="B16" s="91"/>
      <c r="C16" s="92"/>
      <c r="D16" s="92"/>
      <c r="E16" s="92"/>
      <c r="F16" s="89" t="str">
        <f t="shared" si="0"/>
        <v/>
      </c>
      <c r="G16" s="89" t="str">
        <f t="shared" si="1"/>
        <v/>
      </c>
      <c r="H16" s="90" t="str">
        <f t="shared" si="2"/>
        <v/>
      </c>
    </row>
    <row r="17" spans="2:8" ht="17.25" x14ac:dyDescent="0.25">
      <c r="B17" s="91"/>
      <c r="C17" s="92"/>
      <c r="D17" s="92"/>
      <c r="E17" s="92"/>
      <c r="F17" s="89" t="str">
        <f t="shared" si="0"/>
        <v/>
      </c>
      <c r="G17" s="89" t="str">
        <f t="shared" si="1"/>
        <v/>
      </c>
      <c r="H17" s="90" t="str">
        <f t="shared" si="2"/>
        <v/>
      </c>
    </row>
    <row r="18" spans="2:8" ht="17.25" x14ac:dyDescent="0.25">
      <c r="B18" s="91"/>
      <c r="C18" s="92"/>
      <c r="D18" s="92"/>
      <c r="E18" s="92"/>
      <c r="F18" s="89" t="str">
        <f t="shared" si="0"/>
        <v/>
      </c>
      <c r="G18" s="89" t="str">
        <f t="shared" si="1"/>
        <v/>
      </c>
      <c r="H18" s="90" t="str">
        <f t="shared" si="2"/>
        <v/>
      </c>
    </row>
    <row r="19" spans="2:8" ht="17.25" x14ac:dyDescent="0.25">
      <c r="B19" s="91"/>
      <c r="C19" s="92"/>
      <c r="D19" s="92"/>
      <c r="E19" s="92"/>
      <c r="F19" s="89" t="str">
        <f t="shared" si="0"/>
        <v/>
      </c>
      <c r="G19" s="89" t="str">
        <f t="shared" si="1"/>
        <v/>
      </c>
      <c r="H19" s="90" t="str">
        <f t="shared" si="2"/>
        <v/>
      </c>
    </row>
    <row r="20" spans="2:8" ht="17.25" x14ac:dyDescent="0.25">
      <c r="B20" s="91"/>
      <c r="C20" s="92"/>
      <c r="D20" s="92"/>
      <c r="E20" s="92"/>
      <c r="F20" s="89" t="str">
        <f t="shared" si="0"/>
        <v/>
      </c>
      <c r="G20" s="89" t="str">
        <f t="shared" si="1"/>
        <v/>
      </c>
      <c r="H20" s="90" t="str">
        <f t="shared" si="2"/>
        <v/>
      </c>
    </row>
    <row r="21" spans="2:8" ht="17.25" x14ac:dyDescent="0.25">
      <c r="B21" s="91"/>
      <c r="C21" s="92"/>
      <c r="D21" s="92"/>
      <c r="E21" s="92"/>
      <c r="F21" s="89" t="str">
        <f t="shared" si="0"/>
        <v/>
      </c>
      <c r="G21" s="89" t="str">
        <f t="shared" si="1"/>
        <v/>
      </c>
      <c r="H21" s="90" t="str">
        <f t="shared" si="2"/>
        <v/>
      </c>
    </row>
    <row r="22" spans="2:8" ht="17.25" x14ac:dyDescent="0.25">
      <c r="B22" s="91"/>
      <c r="C22" s="92"/>
      <c r="D22" s="92"/>
      <c r="E22" s="92"/>
      <c r="F22" s="89" t="str">
        <f t="shared" si="0"/>
        <v/>
      </c>
      <c r="G22" s="89" t="str">
        <f t="shared" si="1"/>
        <v/>
      </c>
      <c r="H22" s="90" t="str">
        <f t="shared" si="2"/>
        <v/>
      </c>
    </row>
    <row r="23" spans="2:8" ht="17.25" x14ac:dyDescent="0.25">
      <c r="B23" s="91"/>
      <c r="C23" s="92"/>
      <c r="D23" s="92"/>
      <c r="E23" s="92"/>
      <c r="F23" s="89" t="str">
        <f t="shared" si="0"/>
        <v/>
      </c>
      <c r="G23" s="89" t="str">
        <f t="shared" si="1"/>
        <v/>
      </c>
      <c r="H23" s="90" t="str">
        <f t="shared" si="2"/>
        <v/>
      </c>
    </row>
    <row r="24" spans="2:8" ht="17.25" x14ac:dyDescent="0.25">
      <c r="B24" s="91"/>
      <c r="C24" s="92"/>
      <c r="D24" s="92"/>
      <c r="E24" s="92"/>
      <c r="F24" s="89" t="str">
        <f t="shared" si="0"/>
        <v/>
      </c>
      <c r="G24" s="89" t="str">
        <f t="shared" si="1"/>
        <v/>
      </c>
      <c r="H24" s="90" t="str">
        <f t="shared" si="2"/>
        <v/>
      </c>
    </row>
    <row r="25" spans="2:8" ht="17.25" x14ac:dyDescent="0.25">
      <c r="B25" s="91"/>
      <c r="C25" s="92"/>
      <c r="D25" s="92"/>
      <c r="E25" s="92"/>
      <c r="F25" s="89" t="str">
        <f t="shared" si="0"/>
        <v/>
      </c>
      <c r="G25" s="89" t="str">
        <f t="shared" si="1"/>
        <v/>
      </c>
      <c r="H25" s="90" t="str">
        <f t="shared" si="2"/>
        <v/>
      </c>
    </row>
    <row r="26" spans="2:8" ht="17.25" x14ac:dyDescent="0.25">
      <c r="B26" s="91"/>
      <c r="C26" s="92"/>
      <c r="D26" s="92"/>
      <c r="E26" s="92"/>
      <c r="F26" s="89" t="str">
        <f t="shared" si="0"/>
        <v/>
      </c>
      <c r="G26" s="89" t="str">
        <f t="shared" si="1"/>
        <v/>
      </c>
      <c r="H26" s="90" t="str">
        <f t="shared" si="2"/>
        <v/>
      </c>
    </row>
    <row r="27" spans="2:8" ht="17.25" x14ac:dyDescent="0.25">
      <c r="F27" s="89" t="str">
        <f t="shared" si="0"/>
        <v/>
      </c>
      <c r="G27" s="89" t="str">
        <f t="shared" si="1"/>
        <v/>
      </c>
      <c r="H27" s="90" t="str">
        <f t="shared" si="2"/>
        <v/>
      </c>
    </row>
    <row r="28" spans="2:8" ht="17.25" x14ac:dyDescent="0.25">
      <c r="F28" s="89" t="str">
        <f t="shared" si="0"/>
        <v/>
      </c>
      <c r="G28" s="89" t="str">
        <f t="shared" si="1"/>
        <v/>
      </c>
      <c r="H28" s="90" t="str">
        <f t="shared" si="2"/>
        <v/>
      </c>
    </row>
    <row r="29" spans="2:8" ht="17.25" x14ac:dyDescent="0.25">
      <c r="F29" s="89" t="str">
        <f t="shared" si="0"/>
        <v/>
      </c>
      <c r="G29" s="89" t="str">
        <f t="shared" si="1"/>
        <v/>
      </c>
      <c r="H29" s="90" t="str">
        <f t="shared" si="2"/>
        <v/>
      </c>
    </row>
    <row r="30" spans="2:8" ht="17.25" x14ac:dyDescent="0.25">
      <c r="F30" s="89" t="str">
        <f t="shared" si="0"/>
        <v/>
      </c>
      <c r="G30" s="89" t="str">
        <f t="shared" si="1"/>
        <v/>
      </c>
      <c r="H30" s="90" t="str">
        <f t="shared" si="2"/>
        <v/>
      </c>
    </row>
    <row r="31" spans="2:8" ht="17.25" x14ac:dyDescent="0.25">
      <c r="F31" s="89" t="str">
        <f t="shared" si="0"/>
        <v/>
      </c>
      <c r="G31" s="89" t="str">
        <f t="shared" si="1"/>
        <v/>
      </c>
      <c r="H31" s="90" t="str">
        <f t="shared" si="2"/>
        <v/>
      </c>
    </row>
    <row r="32" spans="2:8" ht="17.25" x14ac:dyDescent="0.25">
      <c r="F32" s="89" t="str">
        <f t="shared" si="0"/>
        <v/>
      </c>
      <c r="G32" s="89" t="str">
        <f t="shared" si="1"/>
        <v/>
      </c>
      <c r="H32" s="90" t="str">
        <f t="shared" si="2"/>
        <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G17"/>
  <sheetViews>
    <sheetView showGridLines="0" zoomScale="70" zoomScaleNormal="70" workbookViewId="0">
      <selection activeCell="G44" sqref="G44"/>
    </sheetView>
  </sheetViews>
  <sheetFormatPr baseColWidth="10" defaultColWidth="10.7109375" defaultRowHeight="15" x14ac:dyDescent="0.25"/>
  <cols>
    <col min="1" max="1" width="5.5703125" customWidth="1"/>
    <col min="2" max="2" width="58.42578125" bestFit="1" customWidth="1"/>
    <col min="3" max="3" width="15.42578125" customWidth="1"/>
    <col min="4" max="4" width="16.7109375" customWidth="1"/>
    <col min="5" max="5" width="15.5703125" customWidth="1"/>
    <col min="6" max="6" width="16" customWidth="1"/>
    <col min="7" max="7" width="17.28515625" customWidth="1"/>
  </cols>
  <sheetData>
    <row r="2" spans="2:7" ht="33.75" x14ac:dyDescent="0.5">
      <c r="B2" s="83" t="s">
        <v>225</v>
      </c>
    </row>
    <row r="3" spans="2:7" ht="18.75" x14ac:dyDescent="0.25">
      <c r="B3" s="95" t="s">
        <v>224</v>
      </c>
      <c r="C3" s="84" t="s">
        <v>218</v>
      </c>
      <c r="D3" s="84" t="s">
        <v>217</v>
      </c>
      <c r="E3" s="84" t="s">
        <v>216</v>
      </c>
      <c r="F3" s="84" t="s">
        <v>215</v>
      </c>
      <c r="G3" s="84" t="s">
        <v>214</v>
      </c>
    </row>
    <row r="4" spans="2:7" ht="17.25" x14ac:dyDescent="0.25">
      <c r="B4" s="94" t="s">
        <v>223</v>
      </c>
      <c r="C4" s="87">
        <v>10</v>
      </c>
      <c r="D4" s="87">
        <v>50</v>
      </c>
      <c r="E4" s="87">
        <v>25</v>
      </c>
      <c r="F4" s="87">
        <v>55</v>
      </c>
      <c r="G4" s="87">
        <v>100</v>
      </c>
    </row>
    <row r="5" spans="2:7" ht="17.25" x14ac:dyDescent="0.25">
      <c r="B5" s="94" t="s">
        <v>124</v>
      </c>
      <c r="C5" s="87">
        <v>2</v>
      </c>
      <c r="D5" s="87">
        <v>1.5</v>
      </c>
      <c r="E5" s="87">
        <v>1.3</v>
      </c>
      <c r="F5" s="87">
        <v>5</v>
      </c>
      <c r="G5" s="87">
        <v>10</v>
      </c>
    </row>
    <row r="6" spans="2:7" ht="17.25" x14ac:dyDescent="0.25">
      <c r="B6" s="94" t="s">
        <v>125</v>
      </c>
      <c r="C6" s="87">
        <v>1</v>
      </c>
      <c r="D6" s="87">
        <v>0.5</v>
      </c>
      <c r="E6" s="87">
        <v>0.5</v>
      </c>
      <c r="F6" s="87">
        <v>2.4</v>
      </c>
      <c r="G6" s="87">
        <v>4</v>
      </c>
    </row>
    <row r="7" spans="2:7" ht="17.25" x14ac:dyDescent="0.25">
      <c r="B7" s="94" t="s">
        <v>222</v>
      </c>
      <c r="C7" s="87">
        <v>3.5</v>
      </c>
      <c r="D7" s="87">
        <v>2</v>
      </c>
      <c r="E7" s="87">
        <v>3</v>
      </c>
      <c r="F7" s="87">
        <v>10</v>
      </c>
      <c r="G7" s="87">
        <v>10</v>
      </c>
    </row>
    <row r="8" spans="2:7" ht="17.25" x14ac:dyDescent="0.25">
      <c r="B8" s="94" t="s">
        <v>221</v>
      </c>
      <c r="C8" s="87">
        <v>2</v>
      </c>
      <c r="D8" s="87">
        <v>1.5</v>
      </c>
      <c r="E8" s="87">
        <v>1.4</v>
      </c>
      <c r="F8" s="87">
        <v>5</v>
      </c>
      <c r="G8" s="87">
        <v>3</v>
      </c>
    </row>
    <row r="9" spans="2:7" ht="17.25" x14ac:dyDescent="0.25">
      <c r="B9" s="94" t="s">
        <v>220</v>
      </c>
      <c r="C9" s="87">
        <v>6</v>
      </c>
      <c r="D9" s="87">
        <v>7</v>
      </c>
      <c r="E9" s="87">
        <v>9</v>
      </c>
      <c r="F9" s="87">
        <v>10</v>
      </c>
      <c r="G9" s="87">
        <v>42</v>
      </c>
    </row>
    <row r="10" spans="2:7" ht="17.25" x14ac:dyDescent="0.25">
      <c r="B10" s="94" t="s">
        <v>129</v>
      </c>
      <c r="C10" s="87">
        <v>1</v>
      </c>
      <c r="D10" s="87">
        <v>0.5</v>
      </c>
      <c r="E10" s="87">
        <v>0.8</v>
      </c>
      <c r="F10" s="87">
        <v>2.5</v>
      </c>
      <c r="G10" s="87">
        <v>10</v>
      </c>
    </row>
    <row r="11" spans="2:7" ht="17.25" x14ac:dyDescent="0.25">
      <c r="B11" s="94" t="s">
        <v>130</v>
      </c>
      <c r="C11" s="87">
        <v>0.5</v>
      </c>
      <c r="D11" s="87">
        <v>1</v>
      </c>
      <c r="E11" s="87">
        <v>2</v>
      </c>
      <c r="F11" s="87">
        <v>4</v>
      </c>
      <c r="G11" s="87">
        <v>9</v>
      </c>
    </row>
    <row r="14" spans="2:7" ht="18.75" x14ac:dyDescent="0.25">
      <c r="B14" s="95" t="s">
        <v>219</v>
      </c>
      <c r="C14" s="84" t="s">
        <v>218</v>
      </c>
      <c r="D14" s="84" t="s">
        <v>217</v>
      </c>
      <c r="E14" s="84" t="s">
        <v>216</v>
      </c>
      <c r="F14" s="84" t="s">
        <v>215</v>
      </c>
      <c r="G14" s="84" t="s">
        <v>214</v>
      </c>
    </row>
    <row r="15" spans="2:7" ht="17.25" x14ac:dyDescent="0.25">
      <c r="B15" s="94" t="s">
        <v>213</v>
      </c>
      <c r="C15" s="93">
        <f>IFERROR((C4*C5)/(C6*C7),0)</f>
        <v>5.7142857142857144</v>
      </c>
      <c r="D15" s="93">
        <f>IFERROR((D4*D5)/(D6*D7),0)</f>
        <v>75</v>
      </c>
      <c r="E15" s="93">
        <f>IFERROR((E4*E5)/(E6*E7),0)</f>
        <v>21.666666666666668</v>
      </c>
      <c r="F15" s="93">
        <f>IFERROR((F4*F5)/(F6*F7),0)</f>
        <v>11.458333333333334</v>
      </c>
      <c r="G15" s="93">
        <f>IFERROR((G4*G5)/(G6*G7),0)</f>
        <v>25</v>
      </c>
    </row>
    <row r="16" spans="2:7" ht="17.25" x14ac:dyDescent="0.25">
      <c r="B16" s="94" t="s">
        <v>212</v>
      </c>
      <c r="C16" s="93">
        <f>IFERROR((C4*C5)/(C8*C9),0)</f>
        <v>1.6666666666666667</v>
      </c>
      <c r="D16" s="93">
        <f>IFERROR((D4*D5)/(D8*D9),0)</f>
        <v>7.1428571428571432</v>
      </c>
      <c r="E16" s="93">
        <f>IFERROR((E4*E5)/(E8*E9),0)</f>
        <v>2.5793650793650795</v>
      </c>
      <c r="F16" s="93">
        <f>IFERROR((F4*F5)/(F8*F9),0)</f>
        <v>5.5</v>
      </c>
      <c r="G16" s="93">
        <f>IFERROR((G4*G5)/(G8*G9),0)</f>
        <v>7.9365079365079367</v>
      </c>
    </row>
    <row r="17" spans="2:7" ht="17.25" x14ac:dyDescent="0.25">
      <c r="B17" s="94" t="s">
        <v>211</v>
      </c>
      <c r="C17" s="93">
        <f>IFERROR((C4*C5)/((C6*C7)+(C8*C9)+C10+C11),0)</f>
        <v>1.1764705882352942</v>
      </c>
      <c r="D17" s="93">
        <f>IFERROR((D4*D5)/((D6*D7)+(D8*D9)+D10+D11),0)</f>
        <v>5.7692307692307692</v>
      </c>
      <c r="E17" s="93">
        <f>IFERROR((E4*E5)/((E6*E7)+(E8*E9)+E10+E11),0)</f>
        <v>1.9230769230769231</v>
      </c>
      <c r="F17" s="93">
        <f>IFERROR((F4*F5)/((F6*F7)+(F8*F9)+F10+F11),0)</f>
        <v>3.4161490683229814</v>
      </c>
      <c r="G17" s="93">
        <f>IFERROR((G4*G5)/((G6*G7)+(G8*G9)+G10+G11),0)</f>
        <v>5.4054054054054053</v>
      </c>
    </row>
  </sheetData>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34"/>
  <sheetViews>
    <sheetView topLeftCell="J2" workbookViewId="0">
      <selection activeCell="C34" sqref="C34"/>
    </sheetView>
  </sheetViews>
  <sheetFormatPr baseColWidth="10" defaultColWidth="10.7109375" defaultRowHeight="15" x14ac:dyDescent="0.25"/>
  <cols>
    <col min="9" max="9" width="26.5703125" customWidth="1"/>
  </cols>
  <sheetData>
    <row r="1" spans="2:16" x14ac:dyDescent="0.25">
      <c r="B1" s="537" t="s">
        <v>226</v>
      </c>
      <c r="C1" s="537"/>
      <c r="D1" s="537"/>
      <c r="E1" s="537"/>
      <c r="F1" s="537"/>
      <c r="G1" s="537"/>
      <c r="H1" s="537"/>
    </row>
    <row r="3" spans="2:16" x14ac:dyDescent="0.25">
      <c r="B3" s="538" t="s">
        <v>227</v>
      </c>
      <c r="C3" s="538"/>
      <c r="D3" s="538"/>
      <c r="E3" s="538"/>
      <c r="F3" s="538"/>
      <c r="G3" s="538"/>
    </row>
    <row r="4" spans="2:16" x14ac:dyDescent="0.25">
      <c r="B4" s="538" t="s">
        <v>228</v>
      </c>
      <c r="C4" s="538"/>
      <c r="D4" s="538"/>
      <c r="E4" s="538"/>
      <c r="F4" s="538"/>
      <c r="G4" s="538"/>
      <c r="H4" s="539" t="s">
        <v>229</v>
      </c>
      <c r="I4" s="540"/>
      <c r="J4" s="540"/>
      <c r="K4" s="541"/>
      <c r="L4" s="96"/>
      <c r="M4" s="538" t="s">
        <v>230</v>
      </c>
      <c r="N4" s="538"/>
      <c r="O4" s="538"/>
      <c r="P4" s="538"/>
    </row>
    <row r="5" spans="2:16" x14ac:dyDescent="0.25">
      <c r="B5" s="56" t="s">
        <v>231</v>
      </c>
      <c r="C5" s="56">
        <v>1</v>
      </c>
      <c r="D5" s="56">
        <v>2</v>
      </c>
      <c r="E5" s="56">
        <v>3</v>
      </c>
      <c r="F5" s="56">
        <v>4</v>
      </c>
      <c r="G5" s="56">
        <v>5</v>
      </c>
      <c r="H5" s="56" t="s">
        <v>232</v>
      </c>
      <c r="I5" s="56" t="s">
        <v>233</v>
      </c>
      <c r="J5" s="56" t="s">
        <v>234</v>
      </c>
      <c r="K5" s="56" t="s">
        <v>235</v>
      </c>
      <c r="L5" s="53"/>
      <c r="M5" s="56" t="s">
        <v>236</v>
      </c>
      <c r="N5" s="56" t="s">
        <v>237</v>
      </c>
      <c r="O5" s="56" t="s">
        <v>234</v>
      </c>
      <c r="P5" s="56" t="s">
        <v>238</v>
      </c>
    </row>
    <row r="6" spans="2:16" x14ac:dyDescent="0.25">
      <c r="B6" s="53">
        <v>1</v>
      </c>
      <c r="C6" s="53">
        <v>6.4</v>
      </c>
      <c r="D6" s="53">
        <v>6.3</v>
      </c>
      <c r="E6" s="53">
        <v>6.5</v>
      </c>
      <c r="F6" s="53">
        <v>6.7</v>
      </c>
      <c r="G6" s="53">
        <v>6.65</v>
      </c>
      <c r="H6" s="53">
        <f>AVERAGE(C6:G6)</f>
        <v>6.51</v>
      </c>
      <c r="I6" s="53">
        <f>AVERAGE(H6:$H$20)</f>
        <v>6.5009333333333332</v>
      </c>
      <c r="J6" s="53">
        <f>I6+$C$23*N6</f>
        <v>6.6628780000000001</v>
      </c>
      <c r="K6" s="53">
        <f>I6-$C$23*N6</f>
        <v>6.3389886666666664</v>
      </c>
      <c r="L6" s="53"/>
      <c r="M6" s="53">
        <f>MAX(C6:G6)-MIN(C6:G6)</f>
        <v>0.40000000000000036</v>
      </c>
      <c r="N6" s="53">
        <f>AVERAGE(M6:M20)</f>
        <v>0.28066666666666651</v>
      </c>
      <c r="O6" s="53">
        <f>$C$24*N6</f>
        <v>0.59332933333333293</v>
      </c>
      <c r="P6" s="53">
        <f>N6*$C$25</f>
        <v>0</v>
      </c>
    </row>
    <row r="7" spans="2:16" x14ac:dyDescent="0.25">
      <c r="B7" s="53">
        <v>2</v>
      </c>
      <c r="C7" s="53">
        <v>6.5</v>
      </c>
      <c r="D7" s="53">
        <v>6.4</v>
      </c>
      <c r="E7" s="53">
        <v>6.4</v>
      </c>
      <c r="F7" s="53">
        <v>6.5</v>
      </c>
      <c r="G7" s="53">
        <v>6.66</v>
      </c>
      <c r="H7" s="53">
        <f t="shared" ref="H7:H20" si="0">AVERAGE(C7:G7)</f>
        <v>6.492</v>
      </c>
      <c r="I7" s="53">
        <f>$I$6</f>
        <v>6.5009333333333332</v>
      </c>
      <c r="J7" s="53">
        <f t="shared" ref="J7:J19" si="1">I7+$C$23*N7</f>
        <v>6.6628780000000001</v>
      </c>
      <c r="K7" s="53">
        <f t="shared" ref="K7:K20" si="2">I7-$C$23*N7</f>
        <v>6.3389886666666664</v>
      </c>
      <c r="L7" s="53"/>
      <c r="M7" s="53">
        <f>MAX(C7:G7)-MIN(C7:G7)</f>
        <v>0.25999999999999979</v>
      </c>
      <c r="N7" s="53">
        <f>N6</f>
        <v>0.28066666666666651</v>
      </c>
      <c r="O7" s="53">
        <f t="shared" ref="O7:O19" si="3">$C$24*N7</f>
        <v>0.59332933333333293</v>
      </c>
      <c r="P7" s="53">
        <f t="shared" ref="P7:P20" si="4">N7*$C$25</f>
        <v>0</v>
      </c>
    </row>
    <row r="8" spans="2:16" x14ac:dyDescent="0.25">
      <c r="B8" s="53">
        <v>3</v>
      </c>
      <c r="C8" s="53">
        <v>6.36</v>
      </c>
      <c r="D8" s="53">
        <v>6.4</v>
      </c>
      <c r="E8" s="53">
        <v>6.56</v>
      </c>
      <c r="F8" s="53">
        <v>6.45</v>
      </c>
      <c r="G8" s="53">
        <v>6.55</v>
      </c>
      <c r="H8" s="53">
        <f t="shared" si="0"/>
        <v>6.4640000000000004</v>
      </c>
      <c r="I8" s="53">
        <f t="shared" ref="I8:I19" si="5">$I$6</f>
        <v>6.5009333333333332</v>
      </c>
      <c r="J8" s="53">
        <f t="shared" si="1"/>
        <v>6.6628780000000001</v>
      </c>
      <c r="K8" s="53">
        <f t="shared" si="2"/>
        <v>6.3389886666666664</v>
      </c>
      <c r="L8" s="53"/>
      <c r="M8" s="53">
        <f t="shared" ref="M8:M20" si="6">MAX(C8:G8)-MIN(C8:G8)</f>
        <v>0.19999999999999929</v>
      </c>
      <c r="N8" s="53">
        <f>$N$7</f>
        <v>0.28066666666666651</v>
      </c>
      <c r="O8" s="53">
        <f t="shared" si="3"/>
        <v>0.59332933333333293</v>
      </c>
      <c r="P8" s="53">
        <f t="shared" si="4"/>
        <v>0</v>
      </c>
    </row>
    <row r="9" spans="2:16" x14ac:dyDescent="0.25">
      <c r="B9" s="53">
        <v>4</v>
      </c>
      <c r="C9" s="53">
        <v>6.4</v>
      </c>
      <c r="D9" s="53">
        <v>6.4</v>
      </c>
      <c r="E9" s="53">
        <v>6.43</v>
      </c>
      <c r="F9" s="53">
        <v>6.66</v>
      </c>
      <c r="G9" s="53">
        <v>6.57</v>
      </c>
      <c r="H9" s="53">
        <f t="shared" si="0"/>
        <v>6.492</v>
      </c>
      <c r="I9" s="53">
        <f t="shared" si="5"/>
        <v>6.5009333333333332</v>
      </c>
      <c r="J9" s="53">
        <f t="shared" si="1"/>
        <v>6.6628780000000001</v>
      </c>
      <c r="K9" s="53">
        <f t="shared" si="2"/>
        <v>6.3389886666666664</v>
      </c>
      <c r="L9" s="53"/>
      <c r="M9" s="53">
        <f t="shared" si="6"/>
        <v>0.25999999999999979</v>
      </c>
      <c r="N9" s="53">
        <f t="shared" ref="N9:N20" si="7">$N$7</f>
        <v>0.28066666666666651</v>
      </c>
      <c r="O9" s="53">
        <f t="shared" si="3"/>
        <v>0.59332933333333293</v>
      </c>
      <c r="P9" s="53">
        <f t="shared" si="4"/>
        <v>0</v>
      </c>
    </row>
    <row r="10" spans="2:16" x14ac:dyDescent="0.25">
      <c r="B10" s="53">
        <v>5</v>
      </c>
      <c r="C10" s="53">
        <v>6.67</v>
      </c>
      <c r="D10" s="53">
        <v>6.4</v>
      </c>
      <c r="E10" s="53">
        <v>6.4</v>
      </c>
      <c r="F10" s="53">
        <v>6.5</v>
      </c>
      <c r="G10" s="53">
        <v>6.71</v>
      </c>
      <c r="H10" s="53">
        <f t="shared" si="0"/>
        <v>6.5359999999999996</v>
      </c>
      <c r="I10" s="53">
        <f t="shared" si="5"/>
        <v>6.5009333333333332</v>
      </c>
      <c r="J10" s="53">
        <f t="shared" si="1"/>
        <v>6.6628780000000001</v>
      </c>
      <c r="K10" s="53">
        <f t="shared" si="2"/>
        <v>6.3389886666666664</v>
      </c>
      <c r="L10" s="53"/>
      <c r="M10" s="53">
        <f t="shared" si="6"/>
        <v>0.30999999999999961</v>
      </c>
      <c r="N10" s="53">
        <f t="shared" si="7"/>
        <v>0.28066666666666651</v>
      </c>
      <c r="O10" s="53">
        <f t="shared" si="3"/>
        <v>0.59332933333333293</v>
      </c>
      <c r="P10" s="53">
        <f t="shared" si="4"/>
        <v>0</v>
      </c>
    </row>
    <row r="11" spans="2:16" x14ac:dyDescent="0.25">
      <c r="B11" s="53">
        <v>6</v>
      </c>
      <c r="C11" s="53">
        <v>6.45</v>
      </c>
      <c r="D11" s="53">
        <v>6.78</v>
      </c>
      <c r="E11" s="53">
        <v>6.35</v>
      </c>
      <c r="F11" s="53">
        <v>6.4</v>
      </c>
      <c r="G11" s="53">
        <v>6.4</v>
      </c>
      <c r="H11" s="53">
        <f t="shared" si="0"/>
        <v>6.4759999999999991</v>
      </c>
      <c r="I11" s="53">
        <f t="shared" si="5"/>
        <v>6.5009333333333332</v>
      </c>
      <c r="J11" s="53">
        <f t="shared" si="1"/>
        <v>6.6628780000000001</v>
      </c>
      <c r="K11" s="53">
        <f t="shared" si="2"/>
        <v>6.3389886666666664</v>
      </c>
      <c r="L11" s="53"/>
      <c r="M11" s="53">
        <f t="shared" si="6"/>
        <v>0.4300000000000006</v>
      </c>
      <c r="N11" s="53">
        <f t="shared" si="7"/>
        <v>0.28066666666666651</v>
      </c>
      <c r="O11" s="53">
        <f t="shared" si="3"/>
        <v>0.59332933333333293</v>
      </c>
      <c r="P11" s="53">
        <f t="shared" si="4"/>
        <v>0</v>
      </c>
    </row>
    <row r="12" spans="2:16" x14ac:dyDescent="0.25">
      <c r="B12" s="53">
        <v>7</v>
      </c>
      <c r="C12" s="53">
        <v>6.5</v>
      </c>
      <c r="D12" s="53">
        <v>6.4</v>
      </c>
      <c r="E12" s="53">
        <v>6.4</v>
      </c>
      <c r="F12" s="53">
        <v>6.46</v>
      </c>
      <c r="G12" s="53">
        <v>6.51</v>
      </c>
      <c r="H12" s="53">
        <f t="shared" si="0"/>
        <v>6.4540000000000006</v>
      </c>
      <c r="I12" s="53">
        <f t="shared" si="5"/>
        <v>6.5009333333333332</v>
      </c>
      <c r="J12" s="53">
        <f t="shared" si="1"/>
        <v>6.6628780000000001</v>
      </c>
      <c r="K12" s="53">
        <f t="shared" si="2"/>
        <v>6.3389886666666664</v>
      </c>
      <c r="L12" s="53"/>
      <c r="M12" s="53">
        <f t="shared" si="6"/>
        <v>0.10999999999999943</v>
      </c>
      <c r="N12" s="53">
        <f t="shared" si="7"/>
        <v>0.28066666666666651</v>
      </c>
      <c r="O12" s="53">
        <f t="shared" si="3"/>
        <v>0.59332933333333293</v>
      </c>
      <c r="P12" s="53">
        <f t="shared" si="4"/>
        <v>0</v>
      </c>
    </row>
    <row r="13" spans="2:16" x14ac:dyDescent="0.25">
      <c r="B13" s="53">
        <v>8</v>
      </c>
      <c r="C13" s="53">
        <v>6.4</v>
      </c>
      <c r="D13" s="53">
        <v>6.43</v>
      </c>
      <c r="E13" s="53">
        <v>6.78</v>
      </c>
      <c r="F13" s="53">
        <v>6.53</v>
      </c>
      <c r="G13" s="53">
        <v>6.43</v>
      </c>
      <c r="H13" s="53">
        <f t="shared" si="0"/>
        <v>6.5140000000000002</v>
      </c>
      <c r="I13" s="53">
        <f t="shared" si="5"/>
        <v>6.5009333333333332</v>
      </c>
      <c r="J13" s="53">
        <f t="shared" si="1"/>
        <v>6.6628780000000001</v>
      </c>
      <c r="K13" s="53">
        <f t="shared" si="2"/>
        <v>6.3389886666666664</v>
      </c>
      <c r="L13" s="53"/>
      <c r="M13" s="53">
        <f t="shared" si="6"/>
        <v>0.37999999999999989</v>
      </c>
      <c r="N13" s="53">
        <f t="shared" si="7"/>
        <v>0.28066666666666651</v>
      </c>
      <c r="O13" s="53">
        <f t="shared" si="3"/>
        <v>0.59332933333333293</v>
      </c>
      <c r="P13" s="53">
        <f>N13*$C$25</f>
        <v>0</v>
      </c>
    </row>
    <row r="14" spans="2:16" x14ac:dyDescent="0.25">
      <c r="B14" s="53">
        <v>9</v>
      </c>
      <c r="C14" s="53">
        <v>6.4</v>
      </c>
      <c r="D14" s="53">
        <v>6.4</v>
      </c>
      <c r="E14" s="53">
        <v>6.45</v>
      </c>
      <c r="F14" s="53">
        <v>6.55</v>
      </c>
      <c r="G14" s="53">
        <v>6.43</v>
      </c>
      <c r="H14" s="53">
        <f t="shared" si="0"/>
        <v>6.4460000000000006</v>
      </c>
      <c r="I14" s="53">
        <f t="shared" si="5"/>
        <v>6.5009333333333332</v>
      </c>
      <c r="J14" s="53">
        <f t="shared" si="1"/>
        <v>6.6628780000000001</v>
      </c>
      <c r="K14" s="53">
        <f t="shared" si="2"/>
        <v>6.3389886666666664</v>
      </c>
      <c r="L14" s="53"/>
      <c r="M14" s="53">
        <f t="shared" si="6"/>
        <v>0.14999999999999947</v>
      </c>
      <c r="N14" s="53">
        <f t="shared" si="7"/>
        <v>0.28066666666666651</v>
      </c>
      <c r="O14" s="53">
        <f t="shared" si="3"/>
        <v>0.59332933333333293</v>
      </c>
      <c r="P14" s="53">
        <f t="shared" si="4"/>
        <v>0</v>
      </c>
    </row>
    <row r="15" spans="2:16" x14ac:dyDescent="0.25">
      <c r="B15" s="53">
        <v>10</v>
      </c>
      <c r="C15" s="53">
        <v>6.4</v>
      </c>
      <c r="D15" s="53">
        <v>6.47</v>
      </c>
      <c r="E15" s="53">
        <v>6.5</v>
      </c>
      <c r="F15" s="53">
        <v>6.5</v>
      </c>
      <c r="G15" s="53">
        <v>6.4</v>
      </c>
      <c r="H15" s="53">
        <f t="shared" si="0"/>
        <v>6.4540000000000006</v>
      </c>
      <c r="I15" s="53">
        <f t="shared" si="5"/>
        <v>6.5009333333333332</v>
      </c>
      <c r="J15" s="53">
        <f t="shared" si="1"/>
        <v>6.6628780000000001</v>
      </c>
      <c r="K15" s="53">
        <f t="shared" si="2"/>
        <v>6.3389886666666664</v>
      </c>
      <c r="L15" s="53"/>
      <c r="M15" s="53">
        <f t="shared" si="6"/>
        <v>9.9999999999999645E-2</v>
      </c>
      <c r="N15" s="53">
        <f t="shared" si="7"/>
        <v>0.28066666666666651</v>
      </c>
      <c r="O15" s="53">
        <f t="shared" si="3"/>
        <v>0.59332933333333293</v>
      </c>
      <c r="P15" s="53">
        <f t="shared" si="4"/>
        <v>0</v>
      </c>
    </row>
    <row r="16" spans="2:16" x14ac:dyDescent="0.25">
      <c r="B16" s="53">
        <v>11</v>
      </c>
      <c r="C16" s="53">
        <v>6.5</v>
      </c>
      <c r="D16" s="53">
        <v>6.4</v>
      </c>
      <c r="E16" s="53">
        <v>6.54</v>
      </c>
      <c r="F16" s="53">
        <v>6.4</v>
      </c>
      <c r="G16" s="53">
        <v>6.37</v>
      </c>
      <c r="H16" s="53">
        <f t="shared" si="0"/>
        <v>6.4420000000000002</v>
      </c>
      <c r="I16" s="53">
        <f t="shared" si="5"/>
        <v>6.5009333333333332</v>
      </c>
      <c r="J16" s="53">
        <f t="shared" si="1"/>
        <v>6.6628780000000001</v>
      </c>
      <c r="K16" s="53">
        <f t="shared" si="2"/>
        <v>6.3389886666666664</v>
      </c>
      <c r="L16" s="53"/>
      <c r="M16" s="53">
        <f t="shared" si="6"/>
        <v>0.16999999999999993</v>
      </c>
      <c r="N16" s="53">
        <f t="shared" si="7"/>
        <v>0.28066666666666651</v>
      </c>
      <c r="O16" s="53">
        <f t="shared" si="3"/>
        <v>0.59332933333333293</v>
      </c>
      <c r="P16" s="53">
        <f t="shared" si="4"/>
        <v>0</v>
      </c>
    </row>
    <row r="17" spans="2:16" x14ac:dyDescent="0.25">
      <c r="B17" s="53">
        <v>12</v>
      </c>
      <c r="C17" s="53">
        <v>6.33</v>
      </c>
      <c r="D17" s="53">
        <v>6.44</v>
      </c>
      <c r="E17" s="53">
        <v>6.4</v>
      </c>
      <c r="F17" s="53">
        <v>6.53</v>
      </c>
      <c r="G17" s="53">
        <v>6.78</v>
      </c>
      <c r="H17" s="53">
        <f t="shared" si="0"/>
        <v>6.4960000000000004</v>
      </c>
      <c r="I17" s="53">
        <f t="shared" si="5"/>
        <v>6.5009333333333332</v>
      </c>
      <c r="J17" s="53">
        <f t="shared" si="1"/>
        <v>6.6628780000000001</v>
      </c>
      <c r="K17" s="53">
        <f t="shared" si="2"/>
        <v>6.3389886666666664</v>
      </c>
      <c r="L17" s="53"/>
      <c r="M17" s="53">
        <f>MAX(C17:G17)-MIN(C17:G17)</f>
        <v>0.45000000000000018</v>
      </c>
      <c r="N17" s="53">
        <f t="shared" si="7"/>
        <v>0.28066666666666651</v>
      </c>
      <c r="O17" s="53">
        <f t="shared" si="3"/>
        <v>0.59332933333333293</v>
      </c>
      <c r="P17" s="53">
        <f t="shared" si="4"/>
        <v>0</v>
      </c>
    </row>
    <row r="18" spans="2:16" x14ac:dyDescent="0.25">
      <c r="B18" s="53">
        <v>13</v>
      </c>
      <c r="C18" s="53">
        <v>6.67</v>
      </c>
      <c r="D18" s="53">
        <v>6.78</v>
      </c>
      <c r="E18" s="53">
        <v>6.45</v>
      </c>
      <c r="F18" s="53">
        <v>6.32</v>
      </c>
      <c r="G18" s="53">
        <v>6.4</v>
      </c>
      <c r="H18" s="53">
        <f t="shared" si="0"/>
        <v>6.5239999999999991</v>
      </c>
      <c r="I18" s="53">
        <f t="shared" si="5"/>
        <v>6.5009333333333332</v>
      </c>
      <c r="J18" s="53">
        <f t="shared" si="1"/>
        <v>6.6628780000000001</v>
      </c>
      <c r="K18" s="53">
        <f t="shared" si="2"/>
        <v>6.3389886666666664</v>
      </c>
      <c r="L18" s="53"/>
      <c r="M18" s="53">
        <f t="shared" si="6"/>
        <v>0.45999999999999996</v>
      </c>
      <c r="N18" s="53">
        <f t="shared" si="7"/>
        <v>0.28066666666666651</v>
      </c>
      <c r="O18" s="53">
        <f t="shared" si="3"/>
        <v>0.59332933333333293</v>
      </c>
      <c r="P18" s="53">
        <f t="shared" si="4"/>
        <v>0</v>
      </c>
    </row>
    <row r="19" spans="2:16" x14ac:dyDescent="0.25">
      <c r="B19" s="53">
        <v>14</v>
      </c>
      <c r="C19" s="53">
        <v>6.4</v>
      </c>
      <c r="D19" s="53">
        <v>6.4</v>
      </c>
      <c r="E19" s="53">
        <v>6.45</v>
      </c>
      <c r="F19" s="53">
        <v>6.56</v>
      </c>
      <c r="G19" s="53">
        <v>6.59</v>
      </c>
      <c r="H19" s="53">
        <f t="shared" si="0"/>
        <v>6.4799999999999995</v>
      </c>
      <c r="I19" s="53">
        <f t="shared" si="5"/>
        <v>6.5009333333333332</v>
      </c>
      <c r="J19" s="53">
        <f t="shared" si="1"/>
        <v>6.6628780000000001</v>
      </c>
      <c r="K19" s="53">
        <f t="shared" si="2"/>
        <v>6.3389886666666664</v>
      </c>
      <c r="L19" s="53"/>
      <c r="M19" s="53">
        <f t="shared" si="6"/>
        <v>0.1899999999999995</v>
      </c>
      <c r="N19" s="53">
        <f t="shared" si="7"/>
        <v>0.28066666666666651</v>
      </c>
      <c r="O19" s="53">
        <f t="shared" si="3"/>
        <v>0.59332933333333293</v>
      </c>
      <c r="P19" s="53">
        <f t="shared" si="4"/>
        <v>0</v>
      </c>
    </row>
    <row r="20" spans="2:16" x14ac:dyDescent="0.25">
      <c r="B20" s="53">
        <v>15</v>
      </c>
      <c r="C20" s="53">
        <v>6.78</v>
      </c>
      <c r="D20" s="53">
        <v>6.78</v>
      </c>
      <c r="E20" s="53">
        <v>6.89</v>
      </c>
      <c r="F20" s="53">
        <v>6.55</v>
      </c>
      <c r="G20" s="53">
        <v>6.67</v>
      </c>
      <c r="H20" s="53">
        <f t="shared" si="0"/>
        <v>6.734</v>
      </c>
      <c r="I20" s="53">
        <f>$I$6</f>
        <v>6.5009333333333332</v>
      </c>
      <c r="J20" s="53">
        <f>I20+$C$23*N20</f>
        <v>6.6628780000000001</v>
      </c>
      <c r="K20" s="53">
        <f t="shared" si="2"/>
        <v>6.3389886666666664</v>
      </c>
      <c r="L20" s="53"/>
      <c r="M20" s="53">
        <f t="shared" si="6"/>
        <v>0.33999999999999986</v>
      </c>
      <c r="N20" s="53">
        <f t="shared" si="7"/>
        <v>0.28066666666666651</v>
      </c>
      <c r="O20" s="53">
        <f>$C$24*N20</f>
        <v>0.59332933333333293</v>
      </c>
      <c r="P20" s="53">
        <f t="shared" si="4"/>
        <v>0</v>
      </c>
    </row>
    <row r="22" spans="2:16" x14ac:dyDescent="0.25">
      <c r="B22" s="97" t="s">
        <v>239</v>
      </c>
      <c r="C22" s="6">
        <f>AVERAGE(H6:H20)</f>
        <v>6.5009333333333332</v>
      </c>
    </row>
    <row r="23" spans="2:16" x14ac:dyDescent="0.25">
      <c r="B23" s="97" t="s">
        <v>240</v>
      </c>
      <c r="C23" s="6">
        <v>0.57699999999999996</v>
      </c>
    </row>
    <row r="24" spans="2:16" x14ac:dyDescent="0.25">
      <c r="B24" s="97" t="s">
        <v>241</v>
      </c>
      <c r="C24" s="6">
        <v>2.1139999999999999</v>
      </c>
    </row>
    <row r="25" spans="2:16" x14ac:dyDescent="0.25">
      <c r="B25" s="97" t="s">
        <v>242</v>
      </c>
      <c r="C25" s="6">
        <v>0</v>
      </c>
    </row>
    <row r="26" spans="2:16" x14ac:dyDescent="0.25">
      <c r="B26" s="97" t="s">
        <v>243</v>
      </c>
      <c r="C26" s="6">
        <v>2.3260000000000001</v>
      </c>
    </row>
    <row r="27" spans="2:16" ht="15.75" x14ac:dyDescent="0.25">
      <c r="B27" s="98" t="s">
        <v>244</v>
      </c>
      <c r="C27" s="6">
        <f>C33/C26</f>
        <v>0.12066494697621087</v>
      </c>
    </row>
    <row r="28" spans="2:16" x14ac:dyDescent="0.25">
      <c r="B28" s="97" t="s">
        <v>245</v>
      </c>
      <c r="C28" s="6">
        <f>((J6-K6)/6*(C27))</f>
        <v>6.5136815388044996E-3</v>
      </c>
    </row>
    <row r="29" spans="2:16" x14ac:dyDescent="0.25">
      <c r="B29" s="97" t="s">
        <v>246</v>
      </c>
      <c r="C29" s="6">
        <f>C30/3</f>
        <v>0.44736733333333412</v>
      </c>
    </row>
    <row r="30" spans="2:16" x14ac:dyDescent="0.25">
      <c r="B30" s="97" t="s">
        <v>247</v>
      </c>
      <c r="C30" s="6">
        <f>(C22-K6)/C27</f>
        <v>1.3421020000000023</v>
      </c>
    </row>
    <row r="31" spans="2:16" x14ac:dyDescent="0.25">
      <c r="B31" s="97" t="s">
        <v>248</v>
      </c>
      <c r="C31" s="6">
        <f>(J6-C22)/C27</f>
        <v>1.3421020000000023</v>
      </c>
    </row>
    <row r="32" spans="2:16" x14ac:dyDescent="0.25">
      <c r="B32" s="97" t="s">
        <v>249</v>
      </c>
      <c r="C32" s="6">
        <f>MIN(C22-K6)*(J6-C22)/3</f>
        <v>8.7420250205926132E-3</v>
      </c>
    </row>
    <row r="33" spans="2:3" x14ac:dyDescent="0.25">
      <c r="B33" s="97" t="s">
        <v>250</v>
      </c>
      <c r="C33" s="6">
        <f>AVERAGE(M6:M20)</f>
        <v>0.28066666666666651</v>
      </c>
    </row>
    <row r="34" spans="2:3" x14ac:dyDescent="0.25">
      <c r="B34" s="97" t="s">
        <v>251</v>
      </c>
      <c r="C34" s="6">
        <v>5</v>
      </c>
    </row>
  </sheetData>
  <mergeCells count="5">
    <mergeCell ref="B1:H1"/>
    <mergeCell ref="B3:G3"/>
    <mergeCell ref="B4:G4"/>
    <mergeCell ref="H4:K4"/>
    <mergeCell ref="M4:P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L194"/>
  <sheetViews>
    <sheetView showGridLines="0" topLeftCell="A3" workbookViewId="0">
      <selection activeCell="K29" sqref="K29"/>
    </sheetView>
  </sheetViews>
  <sheetFormatPr baseColWidth="10" defaultColWidth="10.7109375" defaultRowHeight="12.75" x14ac:dyDescent="0.2"/>
  <cols>
    <col min="1" max="1" width="6.42578125" style="100" customWidth="1"/>
    <col min="2" max="2" width="35.42578125" style="100" bestFit="1" customWidth="1"/>
    <col min="3" max="3" width="13.7109375" style="100" customWidth="1"/>
    <col min="4" max="4" width="14.42578125" style="100" customWidth="1"/>
    <col min="5" max="5" width="14.85546875" style="100" customWidth="1"/>
    <col min="6" max="7" width="13.7109375" style="100" customWidth="1"/>
    <col min="8" max="8" width="12.42578125" style="100" bestFit="1" customWidth="1"/>
    <col min="9" max="9" width="11.42578125" style="100" customWidth="1"/>
    <col min="10" max="10" width="12" style="100" bestFit="1" customWidth="1"/>
    <col min="11" max="11" width="12.42578125" style="100" bestFit="1" customWidth="1"/>
    <col min="12" max="256" width="9.140625" style="100" customWidth="1"/>
    <col min="257" max="257" width="6.42578125" style="100" customWidth="1"/>
    <col min="258" max="258" width="35.42578125" style="100" bestFit="1" customWidth="1"/>
    <col min="259" max="259" width="13.7109375" style="100" customWidth="1"/>
    <col min="260" max="260" width="14.42578125" style="100" customWidth="1"/>
    <col min="261" max="261" width="14.85546875" style="100" customWidth="1"/>
    <col min="262" max="263" width="13.7109375" style="100" customWidth="1"/>
    <col min="264" max="264" width="12.42578125" style="100" bestFit="1" customWidth="1"/>
    <col min="265" max="265" width="11.42578125" style="100" customWidth="1"/>
    <col min="266" max="266" width="12" style="100" bestFit="1" customWidth="1"/>
    <col min="267" max="267" width="12.42578125" style="100" bestFit="1" customWidth="1"/>
    <col min="268" max="512" width="9.140625" style="100" customWidth="1"/>
    <col min="513" max="513" width="6.42578125" style="100" customWidth="1"/>
    <col min="514" max="514" width="35.42578125" style="100" bestFit="1" customWidth="1"/>
    <col min="515" max="515" width="13.7109375" style="100" customWidth="1"/>
    <col min="516" max="516" width="14.42578125" style="100" customWidth="1"/>
    <col min="517" max="517" width="14.85546875" style="100" customWidth="1"/>
    <col min="518" max="519" width="13.7109375" style="100" customWidth="1"/>
    <col min="520" max="520" width="12.42578125" style="100" bestFit="1" customWidth="1"/>
    <col min="521" max="521" width="11.42578125" style="100" customWidth="1"/>
    <col min="522" max="522" width="12" style="100" bestFit="1" customWidth="1"/>
    <col min="523" max="523" width="12.42578125" style="100" bestFit="1" customWidth="1"/>
    <col min="524" max="768" width="9.140625" style="100" customWidth="1"/>
    <col min="769" max="769" width="6.42578125" style="100" customWidth="1"/>
    <col min="770" max="770" width="35.42578125" style="100" bestFit="1" customWidth="1"/>
    <col min="771" max="771" width="13.7109375" style="100" customWidth="1"/>
    <col min="772" max="772" width="14.42578125" style="100" customWidth="1"/>
    <col min="773" max="773" width="14.85546875" style="100" customWidth="1"/>
    <col min="774" max="775" width="13.7109375" style="100" customWidth="1"/>
    <col min="776" max="776" width="12.42578125" style="100" bestFit="1" customWidth="1"/>
    <col min="777" max="777" width="11.42578125" style="100" customWidth="1"/>
    <col min="778" max="778" width="12" style="100" bestFit="1" customWidth="1"/>
    <col min="779" max="779" width="12.42578125" style="100" bestFit="1" customWidth="1"/>
    <col min="780" max="1024" width="9.140625" style="100" customWidth="1"/>
    <col min="1025" max="1025" width="6.42578125" style="100" customWidth="1"/>
    <col min="1026" max="1026" width="35.42578125" style="100" bestFit="1" customWidth="1"/>
    <col min="1027" max="1027" width="13.7109375" style="100" customWidth="1"/>
    <col min="1028" max="1028" width="14.42578125" style="100" customWidth="1"/>
    <col min="1029" max="1029" width="14.85546875" style="100" customWidth="1"/>
    <col min="1030" max="1031" width="13.7109375" style="100" customWidth="1"/>
    <col min="1032" max="1032" width="12.42578125" style="100" bestFit="1" customWidth="1"/>
    <col min="1033" max="1033" width="11.42578125" style="100" customWidth="1"/>
    <col min="1034" max="1034" width="12" style="100" bestFit="1" customWidth="1"/>
    <col min="1035" max="1035" width="12.42578125" style="100" bestFit="1" customWidth="1"/>
    <col min="1036" max="1280" width="9.140625" style="100" customWidth="1"/>
    <col min="1281" max="1281" width="6.42578125" style="100" customWidth="1"/>
    <col min="1282" max="1282" width="35.42578125" style="100" bestFit="1" customWidth="1"/>
    <col min="1283" max="1283" width="13.7109375" style="100" customWidth="1"/>
    <col min="1284" max="1284" width="14.42578125" style="100" customWidth="1"/>
    <col min="1285" max="1285" width="14.85546875" style="100" customWidth="1"/>
    <col min="1286" max="1287" width="13.7109375" style="100" customWidth="1"/>
    <col min="1288" max="1288" width="12.42578125" style="100" bestFit="1" customWidth="1"/>
    <col min="1289" max="1289" width="11.42578125" style="100" customWidth="1"/>
    <col min="1290" max="1290" width="12" style="100" bestFit="1" customWidth="1"/>
    <col min="1291" max="1291" width="12.42578125" style="100" bestFit="1" customWidth="1"/>
    <col min="1292" max="1536" width="9.140625" style="100" customWidth="1"/>
    <col min="1537" max="1537" width="6.42578125" style="100" customWidth="1"/>
    <col min="1538" max="1538" width="35.42578125" style="100" bestFit="1" customWidth="1"/>
    <col min="1539" max="1539" width="13.7109375" style="100" customWidth="1"/>
    <col min="1540" max="1540" width="14.42578125" style="100" customWidth="1"/>
    <col min="1541" max="1541" width="14.85546875" style="100" customWidth="1"/>
    <col min="1542" max="1543" width="13.7109375" style="100" customWidth="1"/>
    <col min="1544" max="1544" width="12.42578125" style="100" bestFit="1" customWidth="1"/>
    <col min="1545" max="1545" width="11.42578125" style="100" customWidth="1"/>
    <col min="1546" max="1546" width="12" style="100" bestFit="1" customWidth="1"/>
    <col min="1547" max="1547" width="12.42578125" style="100" bestFit="1" customWidth="1"/>
    <col min="1548" max="1792" width="9.140625" style="100" customWidth="1"/>
    <col min="1793" max="1793" width="6.42578125" style="100" customWidth="1"/>
    <col min="1794" max="1794" width="35.42578125" style="100" bestFit="1" customWidth="1"/>
    <col min="1795" max="1795" width="13.7109375" style="100" customWidth="1"/>
    <col min="1796" max="1796" width="14.42578125" style="100" customWidth="1"/>
    <col min="1797" max="1797" width="14.85546875" style="100" customWidth="1"/>
    <col min="1798" max="1799" width="13.7109375" style="100" customWidth="1"/>
    <col min="1800" max="1800" width="12.42578125" style="100" bestFit="1" customWidth="1"/>
    <col min="1801" max="1801" width="11.42578125" style="100" customWidth="1"/>
    <col min="1802" max="1802" width="12" style="100" bestFit="1" customWidth="1"/>
    <col min="1803" max="1803" width="12.42578125" style="100" bestFit="1" customWidth="1"/>
    <col min="1804" max="2048" width="9.140625" style="100" customWidth="1"/>
    <col min="2049" max="2049" width="6.42578125" style="100" customWidth="1"/>
    <col min="2050" max="2050" width="35.42578125" style="100" bestFit="1" customWidth="1"/>
    <col min="2051" max="2051" width="13.7109375" style="100" customWidth="1"/>
    <col min="2052" max="2052" width="14.42578125" style="100" customWidth="1"/>
    <col min="2053" max="2053" width="14.85546875" style="100" customWidth="1"/>
    <col min="2054" max="2055" width="13.7109375" style="100" customWidth="1"/>
    <col min="2056" max="2056" width="12.42578125" style="100" bestFit="1" customWidth="1"/>
    <col min="2057" max="2057" width="11.42578125" style="100" customWidth="1"/>
    <col min="2058" max="2058" width="12" style="100" bestFit="1" customWidth="1"/>
    <col min="2059" max="2059" width="12.42578125" style="100" bestFit="1" customWidth="1"/>
    <col min="2060" max="2304" width="9.140625" style="100" customWidth="1"/>
    <col min="2305" max="2305" width="6.42578125" style="100" customWidth="1"/>
    <col min="2306" max="2306" width="35.42578125" style="100" bestFit="1" customWidth="1"/>
    <col min="2307" max="2307" width="13.7109375" style="100" customWidth="1"/>
    <col min="2308" max="2308" width="14.42578125" style="100" customWidth="1"/>
    <col min="2309" max="2309" width="14.85546875" style="100" customWidth="1"/>
    <col min="2310" max="2311" width="13.7109375" style="100" customWidth="1"/>
    <col min="2312" max="2312" width="12.42578125" style="100" bestFit="1" customWidth="1"/>
    <col min="2313" max="2313" width="11.42578125" style="100" customWidth="1"/>
    <col min="2314" max="2314" width="12" style="100" bestFit="1" customWidth="1"/>
    <col min="2315" max="2315" width="12.42578125" style="100" bestFit="1" customWidth="1"/>
    <col min="2316" max="2560" width="9.140625" style="100" customWidth="1"/>
    <col min="2561" max="2561" width="6.42578125" style="100" customWidth="1"/>
    <col min="2562" max="2562" width="35.42578125" style="100" bestFit="1" customWidth="1"/>
    <col min="2563" max="2563" width="13.7109375" style="100" customWidth="1"/>
    <col min="2564" max="2564" width="14.42578125" style="100" customWidth="1"/>
    <col min="2565" max="2565" width="14.85546875" style="100" customWidth="1"/>
    <col min="2566" max="2567" width="13.7109375" style="100" customWidth="1"/>
    <col min="2568" max="2568" width="12.42578125" style="100" bestFit="1" customWidth="1"/>
    <col min="2569" max="2569" width="11.42578125" style="100" customWidth="1"/>
    <col min="2570" max="2570" width="12" style="100" bestFit="1" customWidth="1"/>
    <col min="2571" max="2571" width="12.42578125" style="100" bestFit="1" customWidth="1"/>
    <col min="2572" max="2816" width="9.140625" style="100" customWidth="1"/>
    <col min="2817" max="2817" width="6.42578125" style="100" customWidth="1"/>
    <col min="2818" max="2818" width="35.42578125" style="100" bestFit="1" customWidth="1"/>
    <col min="2819" max="2819" width="13.7109375" style="100" customWidth="1"/>
    <col min="2820" max="2820" width="14.42578125" style="100" customWidth="1"/>
    <col min="2821" max="2821" width="14.85546875" style="100" customWidth="1"/>
    <col min="2822" max="2823" width="13.7109375" style="100" customWidth="1"/>
    <col min="2824" max="2824" width="12.42578125" style="100" bestFit="1" customWidth="1"/>
    <col min="2825" max="2825" width="11.42578125" style="100" customWidth="1"/>
    <col min="2826" max="2826" width="12" style="100" bestFit="1" customWidth="1"/>
    <col min="2827" max="2827" width="12.42578125" style="100" bestFit="1" customWidth="1"/>
    <col min="2828" max="3072" width="9.140625" style="100" customWidth="1"/>
    <col min="3073" max="3073" width="6.42578125" style="100" customWidth="1"/>
    <col min="3074" max="3074" width="35.42578125" style="100" bestFit="1" customWidth="1"/>
    <col min="3075" max="3075" width="13.7109375" style="100" customWidth="1"/>
    <col min="3076" max="3076" width="14.42578125" style="100" customWidth="1"/>
    <col min="3077" max="3077" width="14.85546875" style="100" customWidth="1"/>
    <col min="3078" max="3079" width="13.7109375" style="100" customWidth="1"/>
    <col min="3080" max="3080" width="12.42578125" style="100" bestFit="1" customWidth="1"/>
    <col min="3081" max="3081" width="11.42578125" style="100" customWidth="1"/>
    <col min="3082" max="3082" width="12" style="100" bestFit="1" customWidth="1"/>
    <col min="3083" max="3083" width="12.42578125" style="100" bestFit="1" customWidth="1"/>
    <col min="3084" max="3328" width="9.140625" style="100" customWidth="1"/>
    <col min="3329" max="3329" width="6.42578125" style="100" customWidth="1"/>
    <col min="3330" max="3330" width="35.42578125" style="100" bestFit="1" customWidth="1"/>
    <col min="3331" max="3331" width="13.7109375" style="100" customWidth="1"/>
    <col min="3332" max="3332" width="14.42578125" style="100" customWidth="1"/>
    <col min="3333" max="3333" width="14.85546875" style="100" customWidth="1"/>
    <col min="3334" max="3335" width="13.7109375" style="100" customWidth="1"/>
    <col min="3336" max="3336" width="12.42578125" style="100" bestFit="1" customWidth="1"/>
    <col min="3337" max="3337" width="11.42578125" style="100" customWidth="1"/>
    <col min="3338" max="3338" width="12" style="100" bestFit="1" customWidth="1"/>
    <col min="3339" max="3339" width="12.42578125" style="100" bestFit="1" customWidth="1"/>
    <col min="3340" max="3584" width="9.140625" style="100" customWidth="1"/>
    <col min="3585" max="3585" width="6.42578125" style="100" customWidth="1"/>
    <col min="3586" max="3586" width="35.42578125" style="100" bestFit="1" customWidth="1"/>
    <col min="3587" max="3587" width="13.7109375" style="100" customWidth="1"/>
    <col min="3588" max="3588" width="14.42578125" style="100" customWidth="1"/>
    <col min="3589" max="3589" width="14.85546875" style="100" customWidth="1"/>
    <col min="3590" max="3591" width="13.7109375" style="100" customWidth="1"/>
    <col min="3592" max="3592" width="12.42578125" style="100" bestFit="1" customWidth="1"/>
    <col min="3593" max="3593" width="11.42578125" style="100" customWidth="1"/>
    <col min="3594" max="3594" width="12" style="100" bestFit="1" customWidth="1"/>
    <col min="3595" max="3595" width="12.42578125" style="100" bestFit="1" customWidth="1"/>
    <col min="3596" max="3840" width="9.140625" style="100" customWidth="1"/>
    <col min="3841" max="3841" width="6.42578125" style="100" customWidth="1"/>
    <col min="3842" max="3842" width="35.42578125" style="100" bestFit="1" customWidth="1"/>
    <col min="3843" max="3843" width="13.7109375" style="100" customWidth="1"/>
    <col min="3844" max="3844" width="14.42578125" style="100" customWidth="1"/>
    <col min="3845" max="3845" width="14.85546875" style="100" customWidth="1"/>
    <col min="3846" max="3847" width="13.7109375" style="100" customWidth="1"/>
    <col min="3848" max="3848" width="12.42578125" style="100" bestFit="1" customWidth="1"/>
    <col min="3849" max="3849" width="11.42578125" style="100" customWidth="1"/>
    <col min="3850" max="3850" width="12" style="100" bestFit="1" customWidth="1"/>
    <col min="3851" max="3851" width="12.42578125" style="100" bestFit="1" customWidth="1"/>
    <col min="3852" max="4096" width="9.140625" style="100" customWidth="1"/>
    <col min="4097" max="4097" width="6.42578125" style="100" customWidth="1"/>
    <col min="4098" max="4098" width="35.42578125" style="100" bestFit="1" customWidth="1"/>
    <col min="4099" max="4099" width="13.7109375" style="100" customWidth="1"/>
    <col min="4100" max="4100" width="14.42578125" style="100" customWidth="1"/>
    <col min="4101" max="4101" width="14.85546875" style="100" customWidth="1"/>
    <col min="4102" max="4103" width="13.7109375" style="100" customWidth="1"/>
    <col min="4104" max="4104" width="12.42578125" style="100" bestFit="1" customWidth="1"/>
    <col min="4105" max="4105" width="11.42578125" style="100" customWidth="1"/>
    <col min="4106" max="4106" width="12" style="100" bestFit="1" customWidth="1"/>
    <col min="4107" max="4107" width="12.42578125" style="100" bestFit="1" customWidth="1"/>
    <col min="4108" max="4352" width="9.140625" style="100" customWidth="1"/>
    <col min="4353" max="4353" width="6.42578125" style="100" customWidth="1"/>
    <col min="4354" max="4354" width="35.42578125" style="100" bestFit="1" customWidth="1"/>
    <col min="4355" max="4355" width="13.7109375" style="100" customWidth="1"/>
    <col min="4356" max="4356" width="14.42578125" style="100" customWidth="1"/>
    <col min="4357" max="4357" width="14.85546875" style="100" customWidth="1"/>
    <col min="4358" max="4359" width="13.7109375" style="100" customWidth="1"/>
    <col min="4360" max="4360" width="12.42578125" style="100" bestFit="1" customWidth="1"/>
    <col min="4361" max="4361" width="11.42578125" style="100" customWidth="1"/>
    <col min="4362" max="4362" width="12" style="100" bestFit="1" customWidth="1"/>
    <col min="4363" max="4363" width="12.42578125" style="100" bestFit="1" customWidth="1"/>
    <col min="4364" max="4608" width="9.140625" style="100" customWidth="1"/>
    <col min="4609" max="4609" width="6.42578125" style="100" customWidth="1"/>
    <col min="4610" max="4610" width="35.42578125" style="100" bestFit="1" customWidth="1"/>
    <col min="4611" max="4611" width="13.7109375" style="100" customWidth="1"/>
    <col min="4612" max="4612" width="14.42578125" style="100" customWidth="1"/>
    <col min="4613" max="4613" width="14.85546875" style="100" customWidth="1"/>
    <col min="4614" max="4615" width="13.7109375" style="100" customWidth="1"/>
    <col min="4616" max="4616" width="12.42578125" style="100" bestFit="1" customWidth="1"/>
    <col min="4617" max="4617" width="11.42578125" style="100" customWidth="1"/>
    <col min="4618" max="4618" width="12" style="100" bestFit="1" customWidth="1"/>
    <col min="4619" max="4619" width="12.42578125" style="100" bestFit="1" customWidth="1"/>
    <col min="4620" max="4864" width="9.140625" style="100" customWidth="1"/>
    <col min="4865" max="4865" width="6.42578125" style="100" customWidth="1"/>
    <col min="4866" max="4866" width="35.42578125" style="100" bestFit="1" customWidth="1"/>
    <col min="4867" max="4867" width="13.7109375" style="100" customWidth="1"/>
    <col min="4868" max="4868" width="14.42578125" style="100" customWidth="1"/>
    <col min="4869" max="4869" width="14.85546875" style="100" customWidth="1"/>
    <col min="4870" max="4871" width="13.7109375" style="100" customWidth="1"/>
    <col min="4872" max="4872" width="12.42578125" style="100" bestFit="1" customWidth="1"/>
    <col min="4873" max="4873" width="11.42578125" style="100" customWidth="1"/>
    <col min="4874" max="4874" width="12" style="100" bestFit="1" customWidth="1"/>
    <col min="4875" max="4875" width="12.42578125" style="100" bestFit="1" customWidth="1"/>
    <col min="4876" max="5120" width="9.140625" style="100" customWidth="1"/>
    <col min="5121" max="5121" width="6.42578125" style="100" customWidth="1"/>
    <col min="5122" max="5122" width="35.42578125" style="100" bestFit="1" customWidth="1"/>
    <col min="5123" max="5123" width="13.7109375" style="100" customWidth="1"/>
    <col min="5124" max="5124" width="14.42578125" style="100" customWidth="1"/>
    <col min="5125" max="5125" width="14.85546875" style="100" customWidth="1"/>
    <col min="5126" max="5127" width="13.7109375" style="100" customWidth="1"/>
    <col min="5128" max="5128" width="12.42578125" style="100" bestFit="1" customWidth="1"/>
    <col min="5129" max="5129" width="11.42578125" style="100" customWidth="1"/>
    <col min="5130" max="5130" width="12" style="100" bestFit="1" customWidth="1"/>
    <col min="5131" max="5131" width="12.42578125" style="100" bestFit="1" customWidth="1"/>
    <col min="5132" max="5376" width="9.140625" style="100" customWidth="1"/>
    <col min="5377" max="5377" width="6.42578125" style="100" customWidth="1"/>
    <col min="5378" max="5378" width="35.42578125" style="100" bestFit="1" customWidth="1"/>
    <col min="5379" max="5379" width="13.7109375" style="100" customWidth="1"/>
    <col min="5380" max="5380" width="14.42578125" style="100" customWidth="1"/>
    <col min="5381" max="5381" width="14.85546875" style="100" customWidth="1"/>
    <col min="5382" max="5383" width="13.7109375" style="100" customWidth="1"/>
    <col min="5384" max="5384" width="12.42578125" style="100" bestFit="1" customWidth="1"/>
    <col min="5385" max="5385" width="11.42578125" style="100" customWidth="1"/>
    <col min="5386" max="5386" width="12" style="100" bestFit="1" customWidth="1"/>
    <col min="5387" max="5387" width="12.42578125" style="100" bestFit="1" customWidth="1"/>
    <col min="5388" max="5632" width="9.140625" style="100" customWidth="1"/>
    <col min="5633" max="5633" width="6.42578125" style="100" customWidth="1"/>
    <col min="5634" max="5634" width="35.42578125" style="100" bestFit="1" customWidth="1"/>
    <col min="5635" max="5635" width="13.7109375" style="100" customWidth="1"/>
    <col min="5636" max="5636" width="14.42578125" style="100" customWidth="1"/>
    <col min="5637" max="5637" width="14.85546875" style="100" customWidth="1"/>
    <col min="5638" max="5639" width="13.7109375" style="100" customWidth="1"/>
    <col min="5640" max="5640" width="12.42578125" style="100" bestFit="1" customWidth="1"/>
    <col min="5641" max="5641" width="11.42578125" style="100" customWidth="1"/>
    <col min="5642" max="5642" width="12" style="100" bestFit="1" customWidth="1"/>
    <col min="5643" max="5643" width="12.42578125" style="100" bestFit="1" customWidth="1"/>
    <col min="5644" max="5888" width="9.140625" style="100" customWidth="1"/>
    <col min="5889" max="5889" width="6.42578125" style="100" customWidth="1"/>
    <col min="5890" max="5890" width="35.42578125" style="100" bestFit="1" customWidth="1"/>
    <col min="5891" max="5891" width="13.7109375" style="100" customWidth="1"/>
    <col min="5892" max="5892" width="14.42578125" style="100" customWidth="1"/>
    <col min="5893" max="5893" width="14.85546875" style="100" customWidth="1"/>
    <col min="5894" max="5895" width="13.7109375" style="100" customWidth="1"/>
    <col min="5896" max="5896" width="12.42578125" style="100" bestFit="1" customWidth="1"/>
    <col min="5897" max="5897" width="11.42578125" style="100" customWidth="1"/>
    <col min="5898" max="5898" width="12" style="100" bestFit="1" customWidth="1"/>
    <col min="5899" max="5899" width="12.42578125" style="100" bestFit="1" customWidth="1"/>
    <col min="5900" max="6144" width="9.140625" style="100" customWidth="1"/>
    <col min="6145" max="6145" width="6.42578125" style="100" customWidth="1"/>
    <col min="6146" max="6146" width="35.42578125" style="100" bestFit="1" customWidth="1"/>
    <col min="6147" max="6147" width="13.7109375" style="100" customWidth="1"/>
    <col min="6148" max="6148" width="14.42578125" style="100" customWidth="1"/>
    <col min="6149" max="6149" width="14.85546875" style="100" customWidth="1"/>
    <col min="6150" max="6151" width="13.7109375" style="100" customWidth="1"/>
    <col min="6152" max="6152" width="12.42578125" style="100" bestFit="1" customWidth="1"/>
    <col min="6153" max="6153" width="11.42578125" style="100" customWidth="1"/>
    <col min="6154" max="6154" width="12" style="100" bestFit="1" customWidth="1"/>
    <col min="6155" max="6155" width="12.42578125" style="100" bestFit="1" customWidth="1"/>
    <col min="6156" max="6400" width="9.140625" style="100" customWidth="1"/>
    <col min="6401" max="6401" width="6.42578125" style="100" customWidth="1"/>
    <col min="6402" max="6402" width="35.42578125" style="100" bestFit="1" customWidth="1"/>
    <col min="6403" max="6403" width="13.7109375" style="100" customWidth="1"/>
    <col min="6404" max="6404" width="14.42578125" style="100" customWidth="1"/>
    <col min="6405" max="6405" width="14.85546875" style="100" customWidth="1"/>
    <col min="6406" max="6407" width="13.7109375" style="100" customWidth="1"/>
    <col min="6408" max="6408" width="12.42578125" style="100" bestFit="1" customWidth="1"/>
    <col min="6409" max="6409" width="11.42578125" style="100" customWidth="1"/>
    <col min="6410" max="6410" width="12" style="100" bestFit="1" customWidth="1"/>
    <col min="6411" max="6411" width="12.42578125" style="100" bestFit="1" customWidth="1"/>
    <col min="6412" max="6656" width="9.140625" style="100" customWidth="1"/>
    <col min="6657" max="6657" width="6.42578125" style="100" customWidth="1"/>
    <col min="6658" max="6658" width="35.42578125" style="100" bestFit="1" customWidth="1"/>
    <col min="6659" max="6659" width="13.7109375" style="100" customWidth="1"/>
    <col min="6660" max="6660" width="14.42578125" style="100" customWidth="1"/>
    <col min="6661" max="6661" width="14.85546875" style="100" customWidth="1"/>
    <col min="6662" max="6663" width="13.7109375" style="100" customWidth="1"/>
    <col min="6664" max="6664" width="12.42578125" style="100" bestFit="1" customWidth="1"/>
    <col min="6665" max="6665" width="11.42578125" style="100" customWidth="1"/>
    <col min="6666" max="6666" width="12" style="100" bestFit="1" customWidth="1"/>
    <col min="6667" max="6667" width="12.42578125" style="100" bestFit="1" customWidth="1"/>
    <col min="6668" max="6912" width="9.140625" style="100" customWidth="1"/>
    <col min="6913" max="6913" width="6.42578125" style="100" customWidth="1"/>
    <col min="6914" max="6914" width="35.42578125" style="100" bestFit="1" customWidth="1"/>
    <col min="6915" max="6915" width="13.7109375" style="100" customWidth="1"/>
    <col min="6916" max="6916" width="14.42578125" style="100" customWidth="1"/>
    <col min="6917" max="6917" width="14.85546875" style="100" customWidth="1"/>
    <col min="6918" max="6919" width="13.7109375" style="100" customWidth="1"/>
    <col min="6920" max="6920" width="12.42578125" style="100" bestFit="1" customWidth="1"/>
    <col min="6921" max="6921" width="11.42578125" style="100" customWidth="1"/>
    <col min="6922" max="6922" width="12" style="100" bestFit="1" customWidth="1"/>
    <col min="6923" max="6923" width="12.42578125" style="100" bestFit="1" customWidth="1"/>
    <col min="6924" max="7168" width="9.140625" style="100" customWidth="1"/>
    <col min="7169" max="7169" width="6.42578125" style="100" customWidth="1"/>
    <col min="7170" max="7170" width="35.42578125" style="100" bestFit="1" customWidth="1"/>
    <col min="7171" max="7171" width="13.7109375" style="100" customWidth="1"/>
    <col min="7172" max="7172" width="14.42578125" style="100" customWidth="1"/>
    <col min="7173" max="7173" width="14.85546875" style="100" customWidth="1"/>
    <col min="7174" max="7175" width="13.7109375" style="100" customWidth="1"/>
    <col min="7176" max="7176" width="12.42578125" style="100" bestFit="1" customWidth="1"/>
    <col min="7177" max="7177" width="11.42578125" style="100" customWidth="1"/>
    <col min="7178" max="7178" width="12" style="100" bestFit="1" customWidth="1"/>
    <col min="7179" max="7179" width="12.42578125" style="100" bestFit="1" customWidth="1"/>
    <col min="7180" max="7424" width="9.140625" style="100" customWidth="1"/>
    <col min="7425" max="7425" width="6.42578125" style="100" customWidth="1"/>
    <col min="7426" max="7426" width="35.42578125" style="100" bestFit="1" customWidth="1"/>
    <col min="7427" max="7427" width="13.7109375" style="100" customWidth="1"/>
    <col min="7428" max="7428" width="14.42578125" style="100" customWidth="1"/>
    <col min="7429" max="7429" width="14.85546875" style="100" customWidth="1"/>
    <col min="7430" max="7431" width="13.7109375" style="100" customWidth="1"/>
    <col min="7432" max="7432" width="12.42578125" style="100" bestFit="1" customWidth="1"/>
    <col min="7433" max="7433" width="11.42578125" style="100" customWidth="1"/>
    <col min="7434" max="7434" width="12" style="100" bestFit="1" customWidth="1"/>
    <col min="7435" max="7435" width="12.42578125" style="100" bestFit="1" customWidth="1"/>
    <col min="7436" max="7680" width="9.140625" style="100" customWidth="1"/>
    <col min="7681" max="7681" width="6.42578125" style="100" customWidth="1"/>
    <col min="7682" max="7682" width="35.42578125" style="100" bestFit="1" customWidth="1"/>
    <col min="7683" max="7683" width="13.7109375" style="100" customWidth="1"/>
    <col min="7684" max="7684" width="14.42578125" style="100" customWidth="1"/>
    <col min="7685" max="7685" width="14.85546875" style="100" customWidth="1"/>
    <col min="7686" max="7687" width="13.7109375" style="100" customWidth="1"/>
    <col min="7688" max="7688" width="12.42578125" style="100" bestFit="1" customWidth="1"/>
    <col min="7689" max="7689" width="11.42578125" style="100" customWidth="1"/>
    <col min="7690" max="7690" width="12" style="100" bestFit="1" customWidth="1"/>
    <col min="7691" max="7691" width="12.42578125" style="100" bestFit="1" customWidth="1"/>
    <col min="7692" max="7936" width="9.140625" style="100" customWidth="1"/>
    <col min="7937" max="7937" width="6.42578125" style="100" customWidth="1"/>
    <col min="7938" max="7938" width="35.42578125" style="100" bestFit="1" customWidth="1"/>
    <col min="7939" max="7939" width="13.7109375" style="100" customWidth="1"/>
    <col min="7940" max="7940" width="14.42578125" style="100" customWidth="1"/>
    <col min="7941" max="7941" width="14.85546875" style="100" customWidth="1"/>
    <col min="7942" max="7943" width="13.7109375" style="100" customWidth="1"/>
    <col min="7944" max="7944" width="12.42578125" style="100" bestFit="1" customWidth="1"/>
    <col min="7945" max="7945" width="11.42578125" style="100" customWidth="1"/>
    <col min="7946" max="7946" width="12" style="100" bestFit="1" customWidth="1"/>
    <col min="7947" max="7947" width="12.42578125" style="100" bestFit="1" customWidth="1"/>
    <col min="7948" max="8192" width="9.140625" style="100" customWidth="1"/>
    <col min="8193" max="8193" width="6.42578125" style="100" customWidth="1"/>
    <col min="8194" max="8194" width="35.42578125" style="100" bestFit="1" customWidth="1"/>
    <col min="8195" max="8195" width="13.7109375" style="100" customWidth="1"/>
    <col min="8196" max="8196" width="14.42578125" style="100" customWidth="1"/>
    <col min="8197" max="8197" width="14.85546875" style="100" customWidth="1"/>
    <col min="8198" max="8199" width="13.7109375" style="100" customWidth="1"/>
    <col min="8200" max="8200" width="12.42578125" style="100" bestFit="1" customWidth="1"/>
    <col min="8201" max="8201" width="11.42578125" style="100" customWidth="1"/>
    <col min="8202" max="8202" width="12" style="100" bestFit="1" customWidth="1"/>
    <col min="8203" max="8203" width="12.42578125" style="100" bestFit="1" customWidth="1"/>
    <col min="8204" max="8448" width="9.140625" style="100" customWidth="1"/>
    <col min="8449" max="8449" width="6.42578125" style="100" customWidth="1"/>
    <col min="8450" max="8450" width="35.42578125" style="100" bestFit="1" customWidth="1"/>
    <col min="8451" max="8451" width="13.7109375" style="100" customWidth="1"/>
    <col min="8452" max="8452" width="14.42578125" style="100" customWidth="1"/>
    <col min="8453" max="8453" width="14.85546875" style="100" customWidth="1"/>
    <col min="8454" max="8455" width="13.7109375" style="100" customWidth="1"/>
    <col min="8456" max="8456" width="12.42578125" style="100" bestFit="1" customWidth="1"/>
    <col min="8457" max="8457" width="11.42578125" style="100" customWidth="1"/>
    <col min="8458" max="8458" width="12" style="100" bestFit="1" customWidth="1"/>
    <col min="8459" max="8459" width="12.42578125" style="100" bestFit="1" customWidth="1"/>
    <col min="8460" max="8704" width="9.140625" style="100" customWidth="1"/>
    <col min="8705" max="8705" width="6.42578125" style="100" customWidth="1"/>
    <col min="8706" max="8706" width="35.42578125" style="100" bestFit="1" customWidth="1"/>
    <col min="8707" max="8707" width="13.7109375" style="100" customWidth="1"/>
    <col min="8708" max="8708" width="14.42578125" style="100" customWidth="1"/>
    <col min="8709" max="8709" width="14.85546875" style="100" customWidth="1"/>
    <col min="8710" max="8711" width="13.7109375" style="100" customWidth="1"/>
    <col min="8712" max="8712" width="12.42578125" style="100" bestFit="1" customWidth="1"/>
    <col min="8713" max="8713" width="11.42578125" style="100" customWidth="1"/>
    <col min="8714" max="8714" width="12" style="100" bestFit="1" customWidth="1"/>
    <col min="8715" max="8715" width="12.42578125" style="100" bestFit="1" customWidth="1"/>
    <col min="8716" max="8960" width="9.140625" style="100" customWidth="1"/>
    <col min="8961" max="8961" width="6.42578125" style="100" customWidth="1"/>
    <col min="8962" max="8962" width="35.42578125" style="100" bestFit="1" customWidth="1"/>
    <col min="8963" max="8963" width="13.7109375" style="100" customWidth="1"/>
    <col min="8964" max="8964" width="14.42578125" style="100" customWidth="1"/>
    <col min="8965" max="8965" width="14.85546875" style="100" customWidth="1"/>
    <col min="8966" max="8967" width="13.7109375" style="100" customWidth="1"/>
    <col min="8968" max="8968" width="12.42578125" style="100" bestFit="1" customWidth="1"/>
    <col min="8969" max="8969" width="11.42578125" style="100" customWidth="1"/>
    <col min="8970" max="8970" width="12" style="100" bestFit="1" customWidth="1"/>
    <col min="8971" max="8971" width="12.42578125" style="100" bestFit="1" customWidth="1"/>
    <col min="8972" max="9216" width="9.140625" style="100" customWidth="1"/>
    <col min="9217" max="9217" width="6.42578125" style="100" customWidth="1"/>
    <col min="9218" max="9218" width="35.42578125" style="100" bestFit="1" customWidth="1"/>
    <col min="9219" max="9219" width="13.7109375" style="100" customWidth="1"/>
    <col min="9220" max="9220" width="14.42578125" style="100" customWidth="1"/>
    <col min="9221" max="9221" width="14.85546875" style="100" customWidth="1"/>
    <col min="9222" max="9223" width="13.7109375" style="100" customWidth="1"/>
    <col min="9224" max="9224" width="12.42578125" style="100" bestFit="1" customWidth="1"/>
    <col min="9225" max="9225" width="11.42578125" style="100" customWidth="1"/>
    <col min="9226" max="9226" width="12" style="100" bestFit="1" customWidth="1"/>
    <col min="9227" max="9227" width="12.42578125" style="100" bestFit="1" customWidth="1"/>
    <col min="9228" max="9472" width="9.140625" style="100" customWidth="1"/>
    <col min="9473" max="9473" width="6.42578125" style="100" customWidth="1"/>
    <col min="9474" max="9474" width="35.42578125" style="100" bestFit="1" customWidth="1"/>
    <col min="9475" max="9475" width="13.7109375" style="100" customWidth="1"/>
    <col min="9476" max="9476" width="14.42578125" style="100" customWidth="1"/>
    <col min="9477" max="9477" width="14.85546875" style="100" customWidth="1"/>
    <col min="9478" max="9479" width="13.7109375" style="100" customWidth="1"/>
    <col min="9480" max="9480" width="12.42578125" style="100" bestFit="1" customWidth="1"/>
    <col min="9481" max="9481" width="11.42578125" style="100" customWidth="1"/>
    <col min="9482" max="9482" width="12" style="100" bestFit="1" customWidth="1"/>
    <col min="9483" max="9483" width="12.42578125" style="100" bestFit="1" customWidth="1"/>
    <col min="9484" max="9728" width="9.140625" style="100" customWidth="1"/>
    <col min="9729" max="9729" width="6.42578125" style="100" customWidth="1"/>
    <col min="9730" max="9730" width="35.42578125" style="100" bestFit="1" customWidth="1"/>
    <col min="9731" max="9731" width="13.7109375" style="100" customWidth="1"/>
    <col min="9732" max="9732" width="14.42578125" style="100" customWidth="1"/>
    <col min="9733" max="9733" width="14.85546875" style="100" customWidth="1"/>
    <col min="9734" max="9735" width="13.7109375" style="100" customWidth="1"/>
    <col min="9736" max="9736" width="12.42578125" style="100" bestFit="1" customWidth="1"/>
    <col min="9737" max="9737" width="11.42578125" style="100" customWidth="1"/>
    <col min="9738" max="9738" width="12" style="100" bestFit="1" customWidth="1"/>
    <col min="9739" max="9739" width="12.42578125" style="100" bestFit="1" customWidth="1"/>
    <col min="9740" max="9984" width="9.140625" style="100" customWidth="1"/>
    <col min="9985" max="9985" width="6.42578125" style="100" customWidth="1"/>
    <col min="9986" max="9986" width="35.42578125" style="100" bestFit="1" customWidth="1"/>
    <col min="9987" max="9987" width="13.7109375" style="100" customWidth="1"/>
    <col min="9988" max="9988" width="14.42578125" style="100" customWidth="1"/>
    <col min="9989" max="9989" width="14.85546875" style="100" customWidth="1"/>
    <col min="9990" max="9991" width="13.7109375" style="100" customWidth="1"/>
    <col min="9992" max="9992" width="12.42578125" style="100" bestFit="1" customWidth="1"/>
    <col min="9993" max="9993" width="11.42578125" style="100" customWidth="1"/>
    <col min="9994" max="9994" width="12" style="100" bestFit="1" customWidth="1"/>
    <col min="9995" max="9995" width="12.42578125" style="100" bestFit="1" customWidth="1"/>
    <col min="9996" max="10240" width="9.140625" style="100" customWidth="1"/>
    <col min="10241" max="10241" width="6.42578125" style="100" customWidth="1"/>
    <col min="10242" max="10242" width="35.42578125" style="100" bestFit="1" customWidth="1"/>
    <col min="10243" max="10243" width="13.7109375" style="100" customWidth="1"/>
    <col min="10244" max="10244" width="14.42578125" style="100" customWidth="1"/>
    <col min="10245" max="10245" width="14.85546875" style="100" customWidth="1"/>
    <col min="10246" max="10247" width="13.7109375" style="100" customWidth="1"/>
    <col min="10248" max="10248" width="12.42578125" style="100" bestFit="1" customWidth="1"/>
    <col min="10249" max="10249" width="11.42578125" style="100" customWidth="1"/>
    <col min="10250" max="10250" width="12" style="100" bestFit="1" customWidth="1"/>
    <col min="10251" max="10251" width="12.42578125" style="100" bestFit="1" customWidth="1"/>
    <col min="10252" max="10496" width="9.140625" style="100" customWidth="1"/>
    <col min="10497" max="10497" width="6.42578125" style="100" customWidth="1"/>
    <col min="10498" max="10498" width="35.42578125" style="100" bestFit="1" customWidth="1"/>
    <col min="10499" max="10499" width="13.7109375" style="100" customWidth="1"/>
    <col min="10500" max="10500" width="14.42578125" style="100" customWidth="1"/>
    <col min="10501" max="10501" width="14.85546875" style="100" customWidth="1"/>
    <col min="10502" max="10503" width="13.7109375" style="100" customWidth="1"/>
    <col min="10504" max="10504" width="12.42578125" style="100" bestFit="1" customWidth="1"/>
    <col min="10505" max="10505" width="11.42578125" style="100" customWidth="1"/>
    <col min="10506" max="10506" width="12" style="100" bestFit="1" customWidth="1"/>
    <col min="10507" max="10507" width="12.42578125" style="100" bestFit="1" customWidth="1"/>
    <col min="10508" max="10752" width="9.140625" style="100" customWidth="1"/>
    <col min="10753" max="10753" width="6.42578125" style="100" customWidth="1"/>
    <col min="10754" max="10754" width="35.42578125" style="100" bestFit="1" customWidth="1"/>
    <col min="10755" max="10755" width="13.7109375" style="100" customWidth="1"/>
    <col min="10756" max="10756" width="14.42578125" style="100" customWidth="1"/>
    <col min="10757" max="10757" width="14.85546875" style="100" customWidth="1"/>
    <col min="10758" max="10759" width="13.7109375" style="100" customWidth="1"/>
    <col min="10760" max="10760" width="12.42578125" style="100" bestFit="1" customWidth="1"/>
    <col min="10761" max="10761" width="11.42578125" style="100" customWidth="1"/>
    <col min="10762" max="10762" width="12" style="100" bestFit="1" customWidth="1"/>
    <col min="10763" max="10763" width="12.42578125" style="100" bestFit="1" customWidth="1"/>
    <col min="10764" max="11008" width="9.140625" style="100" customWidth="1"/>
    <col min="11009" max="11009" width="6.42578125" style="100" customWidth="1"/>
    <col min="11010" max="11010" width="35.42578125" style="100" bestFit="1" customWidth="1"/>
    <col min="11011" max="11011" width="13.7109375" style="100" customWidth="1"/>
    <col min="11012" max="11012" width="14.42578125" style="100" customWidth="1"/>
    <col min="11013" max="11013" width="14.85546875" style="100" customWidth="1"/>
    <col min="11014" max="11015" width="13.7109375" style="100" customWidth="1"/>
    <col min="11016" max="11016" width="12.42578125" style="100" bestFit="1" customWidth="1"/>
    <col min="11017" max="11017" width="11.42578125" style="100" customWidth="1"/>
    <col min="11018" max="11018" width="12" style="100" bestFit="1" customWidth="1"/>
    <col min="11019" max="11019" width="12.42578125" style="100" bestFit="1" customWidth="1"/>
    <col min="11020" max="11264" width="9.140625" style="100" customWidth="1"/>
    <col min="11265" max="11265" width="6.42578125" style="100" customWidth="1"/>
    <col min="11266" max="11266" width="35.42578125" style="100" bestFit="1" customWidth="1"/>
    <col min="11267" max="11267" width="13.7109375" style="100" customWidth="1"/>
    <col min="11268" max="11268" width="14.42578125" style="100" customWidth="1"/>
    <col min="11269" max="11269" width="14.85546875" style="100" customWidth="1"/>
    <col min="11270" max="11271" width="13.7109375" style="100" customWidth="1"/>
    <col min="11272" max="11272" width="12.42578125" style="100" bestFit="1" customWidth="1"/>
    <col min="11273" max="11273" width="11.42578125" style="100" customWidth="1"/>
    <col min="11274" max="11274" width="12" style="100" bestFit="1" customWidth="1"/>
    <col min="11275" max="11275" width="12.42578125" style="100" bestFit="1" customWidth="1"/>
    <col min="11276" max="11520" width="9.140625" style="100" customWidth="1"/>
    <col min="11521" max="11521" width="6.42578125" style="100" customWidth="1"/>
    <col min="11522" max="11522" width="35.42578125" style="100" bestFit="1" customWidth="1"/>
    <col min="11523" max="11523" width="13.7109375" style="100" customWidth="1"/>
    <col min="11524" max="11524" width="14.42578125" style="100" customWidth="1"/>
    <col min="11525" max="11525" width="14.85546875" style="100" customWidth="1"/>
    <col min="11526" max="11527" width="13.7109375" style="100" customWidth="1"/>
    <col min="11528" max="11528" width="12.42578125" style="100" bestFit="1" customWidth="1"/>
    <col min="11529" max="11529" width="11.42578125" style="100" customWidth="1"/>
    <col min="11530" max="11530" width="12" style="100" bestFit="1" customWidth="1"/>
    <col min="11531" max="11531" width="12.42578125" style="100" bestFit="1" customWidth="1"/>
    <col min="11532" max="11776" width="9.140625" style="100" customWidth="1"/>
    <col min="11777" max="11777" width="6.42578125" style="100" customWidth="1"/>
    <col min="11778" max="11778" width="35.42578125" style="100" bestFit="1" customWidth="1"/>
    <col min="11779" max="11779" width="13.7109375" style="100" customWidth="1"/>
    <col min="11780" max="11780" width="14.42578125" style="100" customWidth="1"/>
    <col min="11781" max="11781" width="14.85546875" style="100" customWidth="1"/>
    <col min="11782" max="11783" width="13.7109375" style="100" customWidth="1"/>
    <col min="11784" max="11784" width="12.42578125" style="100" bestFit="1" customWidth="1"/>
    <col min="11785" max="11785" width="11.42578125" style="100" customWidth="1"/>
    <col min="11786" max="11786" width="12" style="100" bestFit="1" customWidth="1"/>
    <col min="11787" max="11787" width="12.42578125" style="100" bestFit="1" customWidth="1"/>
    <col min="11788" max="12032" width="9.140625" style="100" customWidth="1"/>
    <col min="12033" max="12033" width="6.42578125" style="100" customWidth="1"/>
    <col min="12034" max="12034" width="35.42578125" style="100" bestFit="1" customWidth="1"/>
    <col min="12035" max="12035" width="13.7109375" style="100" customWidth="1"/>
    <col min="12036" max="12036" width="14.42578125" style="100" customWidth="1"/>
    <col min="12037" max="12037" width="14.85546875" style="100" customWidth="1"/>
    <col min="12038" max="12039" width="13.7109375" style="100" customWidth="1"/>
    <col min="12040" max="12040" width="12.42578125" style="100" bestFit="1" customWidth="1"/>
    <col min="12041" max="12041" width="11.42578125" style="100" customWidth="1"/>
    <col min="12042" max="12042" width="12" style="100" bestFit="1" customWidth="1"/>
    <col min="12043" max="12043" width="12.42578125" style="100" bestFit="1" customWidth="1"/>
    <col min="12044" max="12288" width="9.140625" style="100" customWidth="1"/>
    <col min="12289" max="12289" width="6.42578125" style="100" customWidth="1"/>
    <col min="12290" max="12290" width="35.42578125" style="100" bestFit="1" customWidth="1"/>
    <col min="12291" max="12291" width="13.7109375" style="100" customWidth="1"/>
    <col min="12292" max="12292" width="14.42578125" style="100" customWidth="1"/>
    <col min="12293" max="12293" width="14.85546875" style="100" customWidth="1"/>
    <col min="12294" max="12295" width="13.7109375" style="100" customWidth="1"/>
    <col min="12296" max="12296" width="12.42578125" style="100" bestFit="1" customWidth="1"/>
    <col min="12297" max="12297" width="11.42578125" style="100" customWidth="1"/>
    <col min="12298" max="12298" width="12" style="100" bestFit="1" customWidth="1"/>
    <col min="12299" max="12299" width="12.42578125" style="100" bestFit="1" customWidth="1"/>
    <col min="12300" max="12544" width="9.140625" style="100" customWidth="1"/>
    <col min="12545" max="12545" width="6.42578125" style="100" customWidth="1"/>
    <col min="12546" max="12546" width="35.42578125" style="100" bestFit="1" customWidth="1"/>
    <col min="12547" max="12547" width="13.7109375" style="100" customWidth="1"/>
    <col min="12548" max="12548" width="14.42578125" style="100" customWidth="1"/>
    <col min="12549" max="12549" width="14.85546875" style="100" customWidth="1"/>
    <col min="12550" max="12551" width="13.7109375" style="100" customWidth="1"/>
    <col min="12552" max="12552" width="12.42578125" style="100" bestFit="1" customWidth="1"/>
    <col min="12553" max="12553" width="11.42578125" style="100" customWidth="1"/>
    <col min="12554" max="12554" width="12" style="100" bestFit="1" customWidth="1"/>
    <col min="12555" max="12555" width="12.42578125" style="100" bestFit="1" customWidth="1"/>
    <col min="12556" max="12800" width="9.140625" style="100" customWidth="1"/>
    <col min="12801" max="12801" width="6.42578125" style="100" customWidth="1"/>
    <col min="12802" max="12802" width="35.42578125" style="100" bestFit="1" customWidth="1"/>
    <col min="12803" max="12803" width="13.7109375" style="100" customWidth="1"/>
    <col min="12804" max="12804" width="14.42578125" style="100" customWidth="1"/>
    <col min="12805" max="12805" width="14.85546875" style="100" customWidth="1"/>
    <col min="12806" max="12807" width="13.7109375" style="100" customWidth="1"/>
    <col min="12808" max="12808" width="12.42578125" style="100" bestFit="1" customWidth="1"/>
    <col min="12809" max="12809" width="11.42578125" style="100" customWidth="1"/>
    <col min="12810" max="12810" width="12" style="100" bestFit="1" customWidth="1"/>
    <col min="12811" max="12811" width="12.42578125" style="100" bestFit="1" customWidth="1"/>
    <col min="12812" max="13056" width="9.140625" style="100" customWidth="1"/>
    <col min="13057" max="13057" width="6.42578125" style="100" customWidth="1"/>
    <col min="13058" max="13058" width="35.42578125" style="100" bestFit="1" customWidth="1"/>
    <col min="13059" max="13059" width="13.7109375" style="100" customWidth="1"/>
    <col min="13060" max="13060" width="14.42578125" style="100" customWidth="1"/>
    <col min="13061" max="13061" width="14.85546875" style="100" customWidth="1"/>
    <col min="13062" max="13063" width="13.7109375" style="100" customWidth="1"/>
    <col min="13064" max="13064" width="12.42578125" style="100" bestFit="1" customWidth="1"/>
    <col min="13065" max="13065" width="11.42578125" style="100" customWidth="1"/>
    <col min="13066" max="13066" width="12" style="100" bestFit="1" customWidth="1"/>
    <col min="13067" max="13067" width="12.42578125" style="100" bestFit="1" customWidth="1"/>
    <col min="13068" max="13312" width="9.140625" style="100" customWidth="1"/>
    <col min="13313" max="13313" width="6.42578125" style="100" customWidth="1"/>
    <col min="13314" max="13314" width="35.42578125" style="100" bestFit="1" customWidth="1"/>
    <col min="13315" max="13315" width="13.7109375" style="100" customWidth="1"/>
    <col min="13316" max="13316" width="14.42578125" style="100" customWidth="1"/>
    <col min="13317" max="13317" width="14.85546875" style="100" customWidth="1"/>
    <col min="13318" max="13319" width="13.7109375" style="100" customWidth="1"/>
    <col min="13320" max="13320" width="12.42578125" style="100" bestFit="1" customWidth="1"/>
    <col min="13321" max="13321" width="11.42578125" style="100" customWidth="1"/>
    <col min="13322" max="13322" width="12" style="100" bestFit="1" customWidth="1"/>
    <col min="13323" max="13323" width="12.42578125" style="100" bestFit="1" customWidth="1"/>
    <col min="13324" max="13568" width="9.140625" style="100" customWidth="1"/>
    <col min="13569" max="13569" width="6.42578125" style="100" customWidth="1"/>
    <col min="13570" max="13570" width="35.42578125" style="100" bestFit="1" customWidth="1"/>
    <col min="13571" max="13571" width="13.7109375" style="100" customWidth="1"/>
    <col min="13572" max="13572" width="14.42578125" style="100" customWidth="1"/>
    <col min="13573" max="13573" width="14.85546875" style="100" customWidth="1"/>
    <col min="13574" max="13575" width="13.7109375" style="100" customWidth="1"/>
    <col min="13576" max="13576" width="12.42578125" style="100" bestFit="1" customWidth="1"/>
    <col min="13577" max="13577" width="11.42578125" style="100" customWidth="1"/>
    <col min="13578" max="13578" width="12" style="100" bestFit="1" customWidth="1"/>
    <col min="13579" max="13579" width="12.42578125" style="100" bestFit="1" customWidth="1"/>
    <col min="13580" max="13824" width="9.140625" style="100" customWidth="1"/>
    <col min="13825" max="13825" width="6.42578125" style="100" customWidth="1"/>
    <col min="13826" max="13826" width="35.42578125" style="100" bestFit="1" customWidth="1"/>
    <col min="13827" max="13827" width="13.7109375" style="100" customWidth="1"/>
    <col min="13828" max="13828" width="14.42578125" style="100" customWidth="1"/>
    <col min="13829" max="13829" width="14.85546875" style="100" customWidth="1"/>
    <col min="13830" max="13831" width="13.7109375" style="100" customWidth="1"/>
    <col min="13832" max="13832" width="12.42578125" style="100" bestFit="1" customWidth="1"/>
    <col min="13833" max="13833" width="11.42578125" style="100" customWidth="1"/>
    <col min="13834" max="13834" width="12" style="100" bestFit="1" customWidth="1"/>
    <col min="13835" max="13835" width="12.42578125" style="100" bestFit="1" customWidth="1"/>
    <col min="13836" max="14080" width="9.140625" style="100" customWidth="1"/>
    <col min="14081" max="14081" width="6.42578125" style="100" customWidth="1"/>
    <col min="14082" max="14082" width="35.42578125" style="100" bestFit="1" customWidth="1"/>
    <col min="14083" max="14083" width="13.7109375" style="100" customWidth="1"/>
    <col min="14084" max="14084" width="14.42578125" style="100" customWidth="1"/>
    <col min="14085" max="14085" width="14.85546875" style="100" customWidth="1"/>
    <col min="14086" max="14087" width="13.7109375" style="100" customWidth="1"/>
    <col min="14088" max="14088" width="12.42578125" style="100" bestFit="1" customWidth="1"/>
    <col min="14089" max="14089" width="11.42578125" style="100" customWidth="1"/>
    <col min="14090" max="14090" width="12" style="100" bestFit="1" customWidth="1"/>
    <col min="14091" max="14091" width="12.42578125" style="100" bestFit="1" customWidth="1"/>
    <col min="14092" max="14336" width="9.140625" style="100" customWidth="1"/>
    <col min="14337" max="14337" width="6.42578125" style="100" customWidth="1"/>
    <col min="14338" max="14338" width="35.42578125" style="100" bestFit="1" customWidth="1"/>
    <col min="14339" max="14339" width="13.7109375" style="100" customWidth="1"/>
    <col min="14340" max="14340" width="14.42578125" style="100" customWidth="1"/>
    <col min="14341" max="14341" width="14.85546875" style="100" customWidth="1"/>
    <col min="14342" max="14343" width="13.7109375" style="100" customWidth="1"/>
    <col min="14344" max="14344" width="12.42578125" style="100" bestFit="1" customWidth="1"/>
    <col min="14345" max="14345" width="11.42578125" style="100" customWidth="1"/>
    <col min="14346" max="14346" width="12" style="100" bestFit="1" customWidth="1"/>
    <col min="14347" max="14347" width="12.42578125" style="100" bestFit="1" customWidth="1"/>
    <col min="14348" max="14592" width="9.140625" style="100" customWidth="1"/>
    <col min="14593" max="14593" width="6.42578125" style="100" customWidth="1"/>
    <col min="14594" max="14594" width="35.42578125" style="100" bestFit="1" customWidth="1"/>
    <col min="14595" max="14595" width="13.7109375" style="100" customWidth="1"/>
    <col min="14596" max="14596" width="14.42578125" style="100" customWidth="1"/>
    <col min="14597" max="14597" width="14.85546875" style="100" customWidth="1"/>
    <col min="14598" max="14599" width="13.7109375" style="100" customWidth="1"/>
    <col min="14600" max="14600" width="12.42578125" style="100" bestFit="1" customWidth="1"/>
    <col min="14601" max="14601" width="11.42578125" style="100" customWidth="1"/>
    <col min="14602" max="14602" width="12" style="100" bestFit="1" customWidth="1"/>
    <col min="14603" max="14603" width="12.42578125" style="100" bestFit="1" customWidth="1"/>
    <col min="14604" max="14848" width="9.140625" style="100" customWidth="1"/>
    <col min="14849" max="14849" width="6.42578125" style="100" customWidth="1"/>
    <col min="14850" max="14850" width="35.42578125" style="100" bestFit="1" customWidth="1"/>
    <col min="14851" max="14851" width="13.7109375" style="100" customWidth="1"/>
    <col min="14852" max="14852" width="14.42578125" style="100" customWidth="1"/>
    <col min="14853" max="14853" width="14.85546875" style="100" customWidth="1"/>
    <col min="14854" max="14855" width="13.7109375" style="100" customWidth="1"/>
    <col min="14856" max="14856" width="12.42578125" style="100" bestFit="1" customWidth="1"/>
    <col min="14857" max="14857" width="11.42578125" style="100" customWidth="1"/>
    <col min="14858" max="14858" width="12" style="100" bestFit="1" customWidth="1"/>
    <col min="14859" max="14859" width="12.42578125" style="100" bestFit="1" customWidth="1"/>
    <col min="14860" max="15104" width="9.140625" style="100" customWidth="1"/>
    <col min="15105" max="15105" width="6.42578125" style="100" customWidth="1"/>
    <col min="15106" max="15106" width="35.42578125" style="100" bestFit="1" customWidth="1"/>
    <col min="15107" max="15107" width="13.7109375" style="100" customWidth="1"/>
    <col min="15108" max="15108" width="14.42578125" style="100" customWidth="1"/>
    <col min="15109" max="15109" width="14.85546875" style="100" customWidth="1"/>
    <col min="15110" max="15111" width="13.7109375" style="100" customWidth="1"/>
    <col min="15112" max="15112" width="12.42578125" style="100" bestFit="1" customWidth="1"/>
    <col min="15113" max="15113" width="11.42578125" style="100" customWidth="1"/>
    <col min="15114" max="15114" width="12" style="100" bestFit="1" customWidth="1"/>
    <col min="15115" max="15115" width="12.42578125" style="100" bestFit="1" customWidth="1"/>
    <col min="15116" max="15360" width="9.140625" style="100" customWidth="1"/>
    <col min="15361" max="15361" width="6.42578125" style="100" customWidth="1"/>
    <col min="15362" max="15362" width="35.42578125" style="100" bestFit="1" customWidth="1"/>
    <col min="15363" max="15363" width="13.7109375" style="100" customWidth="1"/>
    <col min="15364" max="15364" width="14.42578125" style="100" customWidth="1"/>
    <col min="15365" max="15365" width="14.85546875" style="100" customWidth="1"/>
    <col min="15366" max="15367" width="13.7109375" style="100" customWidth="1"/>
    <col min="15368" max="15368" width="12.42578125" style="100" bestFit="1" customWidth="1"/>
    <col min="15369" max="15369" width="11.42578125" style="100" customWidth="1"/>
    <col min="15370" max="15370" width="12" style="100" bestFit="1" customWidth="1"/>
    <col min="15371" max="15371" width="12.42578125" style="100" bestFit="1" customWidth="1"/>
    <col min="15372" max="15616" width="9.140625" style="100" customWidth="1"/>
    <col min="15617" max="15617" width="6.42578125" style="100" customWidth="1"/>
    <col min="15618" max="15618" width="35.42578125" style="100" bestFit="1" customWidth="1"/>
    <col min="15619" max="15619" width="13.7109375" style="100" customWidth="1"/>
    <col min="15620" max="15620" width="14.42578125" style="100" customWidth="1"/>
    <col min="15621" max="15621" width="14.85546875" style="100" customWidth="1"/>
    <col min="15622" max="15623" width="13.7109375" style="100" customWidth="1"/>
    <col min="15624" max="15624" width="12.42578125" style="100" bestFit="1" customWidth="1"/>
    <col min="15625" max="15625" width="11.42578125" style="100" customWidth="1"/>
    <col min="15626" max="15626" width="12" style="100" bestFit="1" customWidth="1"/>
    <col min="15627" max="15627" width="12.42578125" style="100" bestFit="1" customWidth="1"/>
    <col min="15628" max="15872" width="9.140625" style="100" customWidth="1"/>
    <col min="15873" max="15873" width="6.42578125" style="100" customWidth="1"/>
    <col min="15874" max="15874" width="35.42578125" style="100" bestFit="1" customWidth="1"/>
    <col min="15875" max="15875" width="13.7109375" style="100" customWidth="1"/>
    <col min="15876" max="15876" width="14.42578125" style="100" customWidth="1"/>
    <col min="15877" max="15877" width="14.85546875" style="100" customWidth="1"/>
    <col min="15878" max="15879" width="13.7109375" style="100" customWidth="1"/>
    <col min="15880" max="15880" width="12.42578125" style="100" bestFit="1" customWidth="1"/>
    <col min="15881" max="15881" width="11.42578125" style="100" customWidth="1"/>
    <col min="15882" max="15882" width="12" style="100" bestFit="1" customWidth="1"/>
    <col min="15883" max="15883" width="12.42578125" style="100" bestFit="1" customWidth="1"/>
    <col min="15884" max="16128" width="9.140625" style="100" customWidth="1"/>
    <col min="16129" max="16129" width="6.42578125" style="100" customWidth="1"/>
    <col min="16130" max="16130" width="35.42578125" style="100" bestFit="1" customWidth="1"/>
    <col min="16131" max="16131" width="13.7109375" style="100" customWidth="1"/>
    <col min="16132" max="16132" width="14.42578125" style="100" customWidth="1"/>
    <col min="16133" max="16133" width="14.85546875" style="100" customWidth="1"/>
    <col min="16134" max="16135" width="13.7109375" style="100" customWidth="1"/>
    <col min="16136" max="16136" width="12.42578125" style="100" bestFit="1" customWidth="1"/>
    <col min="16137" max="16137" width="11.42578125" style="100" customWidth="1"/>
    <col min="16138" max="16138" width="12" style="100" bestFit="1" customWidth="1"/>
    <col min="16139" max="16139" width="12.42578125" style="100" bestFit="1" customWidth="1"/>
    <col min="16140" max="16384" width="9.140625" style="100" customWidth="1"/>
  </cols>
  <sheetData>
    <row r="3" spans="2:12" x14ac:dyDescent="0.2">
      <c r="B3" s="99"/>
      <c r="C3" s="99"/>
      <c r="D3" s="99"/>
      <c r="E3" s="99"/>
      <c r="F3" s="99"/>
      <c r="G3" s="99"/>
      <c r="H3" s="99"/>
      <c r="I3" s="99"/>
      <c r="J3" s="99"/>
      <c r="K3" s="99"/>
      <c r="L3" s="99"/>
    </row>
    <row r="4" spans="2:12" x14ac:dyDescent="0.2">
      <c r="B4" s="101"/>
      <c r="C4" s="99"/>
      <c r="D4" s="99"/>
      <c r="E4" s="102"/>
      <c r="F4" s="99"/>
      <c r="G4" s="99"/>
      <c r="H4" s="99"/>
      <c r="I4" s="99"/>
      <c r="J4" s="99"/>
      <c r="K4" s="99"/>
      <c r="L4" s="99"/>
    </row>
    <row r="5" spans="2:12" x14ac:dyDescent="0.2">
      <c r="B5" s="542" t="s">
        <v>252</v>
      </c>
      <c r="C5" s="542"/>
      <c r="D5" s="542"/>
      <c r="E5" s="542"/>
      <c r="F5" s="542"/>
      <c r="G5" s="542"/>
      <c r="H5" s="542"/>
      <c r="I5" s="542"/>
      <c r="J5" s="542"/>
      <c r="K5" s="542"/>
      <c r="L5" s="542"/>
    </row>
    <row r="6" spans="2:12" x14ac:dyDescent="0.2">
      <c r="B6" s="103"/>
    </row>
    <row r="7" spans="2:12" x14ac:dyDescent="0.2">
      <c r="B7" s="103" t="s">
        <v>253</v>
      </c>
    </row>
    <row r="8" spans="2:12" x14ac:dyDescent="0.2">
      <c r="C8" s="100" t="s">
        <v>254</v>
      </c>
    </row>
    <row r="10" spans="2:12" x14ac:dyDescent="0.2">
      <c r="B10" s="104" t="s">
        <v>255</v>
      </c>
    </row>
    <row r="12" spans="2:12" x14ac:dyDescent="0.2">
      <c r="C12" s="105" t="s">
        <v>256</v>
      </c>
      <c r="D12" s="106" t="s">
        <v>257</v>
      </c>
      <c r="E12" s="106" t="s">
        <v>258</v>
      </c>
      <c r="F12" s="106" t="s">
        <v>259</v>
      </c>
      <c r="G12" s="106" t="s">
        <v>260</v>
      </c>
      <c r="H12" s="106" t="s">
        <v>261</v>
      </c>
      <c r="I12" s="106" t="s">
        <v>262</v>
      </c>
      <c r="J12" s="103"/>
    </row>
    <row r="13" spans="2:12" x14ac:dyDescent="0.2">
      <c r="B13" s="107" t="s">
        <v>256</v>
      </c>
      <c r="C13" s="104">
        <v>1</v>
      </c>
      <c r="D13" s="108">
        <f>C13*100000</f>
        <v>100000</v>
      </c>
      <c r="E13" s="109">
        <f>D13*0.9869</f>
        <v>98690</v>
      </c>
      <c r="F13" s="109">
        <f>14.504</f>
        <v>14.504</v>
      </c>
      <c r="G13" s="109">
        <f>C13*1.0197</f>
        <v>1.0197000000000001</v>
      </c>
      <c r="H13" s="109">
        <f>C13*750.06</f>
        <v>750.06</v>
      </c>
      <c r="I13" s="109">
        <f>C13*29.526</f>
        <v>29.526</v>
      </c>
    </row>
    <row r="14" spans="2:12" x14ac:dyDescent="0.2">
      <c r="B14" s="110" t="s">
        <v>257</v>
      </c>
      <c r="C14" s="111">
        <f>D14*0.00001</f>
        <v>1.0000000000000001E-5</v>
      </c>
      <c r="D14" s="104">
        <v>1</v>
      </c>
      <c r="E14" s="108">
        <f>D14*0.00000987</f>
        <v>9.8700000000000004E-6</v>
      </c>
      <c r="F14" s="109">
        <f>D14*0.00014504</f>
        <v>1.4504000000000001E-4</v>
      </c>
      <c r="G14" s="109">
        <f>D14*0.000010197</f>
        <v>1.0197000000000001E-5</v>
      </c>
      <c r="H14" s="109">
        <f>D14*0.0075006</f>
        <v>7.5005999999999996E-3</v>
      </c>
      <c r="I14" s="109">
        <f>D14*0.0002952</f>
        <v>2.9520000000000002E-4</v>
      </c>
    </row>
    <row r="15" spans="2:12" x14ac:dyDescent="0.2">
      <c r="B15" s="110" t="s">
        <v>258</v>
      </c>
      <c r="C15" s="109">
        <f>E15*1.013</f>
        <v>1.0129999999999999</v>
      </c>
      <c r="D15" s="111">
        <f>E15*101300</f>
        <v>101300</v>
      </c>
      <c r="E15" s="104">
        <v>1</v>
      </c>
      <c r="F15" s="108">
        <f>E15*14.696</f>
        <v>14.696</v>
      </c>
      <c r="G15" s="109">
        <f>E15*1.033</f>
        <v>1.0329999999999999</v>
      </c>
      <c r="H15" s="109">
        <f>E15*760</f>
        <v>760</v>
      </c>
      <c r="I15" s="109">
        <f>E15*29.92</f>
        <v>29.92</v>
      </c>
    </row>
    <row r="16" spans="2:12" x14ac:dyDescent="0.2">
      <c r="B16" s="110" t="s">
        <v>259</v>
      </c>
      <c r="C16" s="109">
        <f>F16*0.06894</f>
        <v>6.8940000000000001E-2</v>
      </c>
      <c r="D16" s="109">
        <f>F16*6894.7</f>
        <v>6894.7</v>
      </c>
      <c r="E16" s="111">
        <f>F16*0.06804</f>
        <v>6.8040000000000003E-2</v>
      </c>
      <c r="F16" s="104">
        <v>1</v>
      </c>
      <c r="G16" s="108">
        <f>F16*0.07031</f>
        <v>7.0309999999999997E-2</v>
      </c>
      <c r="H16" s="109">
        <f>F16*51.715</f>
        <v>51.715000000000003</v>
      </c>
      <c r="I16" s="109">
        <f>F16*2.036</f>
        <v>2.036</v>
      </c>
    </row>
    <row r="17" spans="2:10" x14ac:dyDescent="0.2">
      <c r="B17" s="110" t="s">
        <v>260</v>
      </c>
      <c r="C17" s="109">
        <f>G17*0.9807</f>
        <v>0.98070000000000002</v>
      </c>
      <c r="D17" s="109">
        <f>G17*98068</f>
        <v>98068</v>
      </c>
      <c r="E17" s="109">
        <f>G17*0.9678</f>
        <v>0.96779999999999999</v>
      </c>
      <c r="F17" s="111">
        <f>G17*14.22</f>
        <v>14.22</v>
      </c>
      <c r="G17" s="104">
        <v>1</v>
      </c>
      <c r="H17" s="108">
        <f>G17*735.6</f>
        <v>735.6</v>
      </c>
      <c r="I17" s="109">
        <f>G17*28.96</f>
        <v>28.96</v>
      </c>
    </row>
    <row r="18" spans="2:10" x14ac:dyDescent="0.2">
      <c r="B18" s="110" t="s">
        <v>261</v>
      </c>
      <c r="C18" s="109">
        <f>H18*0.001333</f>
        <v>1.333E-3</v>
      </c>
      <c r="D18" s="109">
        <f>H18*133.32</f>
        <v>133.32</v>
      </c>
      <c r="E18" s="109">
        <f>H18*0.001315</f>
        <v>1.315E-3</v>
      </c>
      <c r="F18" s="109">
        <f>H18*0.01933</f>
        <v>1.933E-2</v>
      </c>
      <c r="G18" s="111">
        <f>H18*0.0013594</f>
        <v>1.3594E-3</v>
      </c>
      <c r="H18" s="104">
        <v>1</v>
      </c>
      <c r="I18" s="108">
        <f>H18*0.03937</f>
        <v>3.9370000000000002E-2</v>
      </c>
    </row>
    <row r="19" spans="2:10" x14ac:dyDescent="0.2">
      <c r="B19" s="110" t="s">
        <v>262</v>
      </c>
      <c r="C19" s="109">
        <f>I19*0.033864</f>
        <v>3.3863999999999998E-2</v>
      </c>
      <c r="D19" s="109">
        <f>I19*3386.4</f>
        <v>3386.4</v>
      </c>
      <c r="E19" s="109">
        <f>I19*0.0334</f>
        <v>3.3399999999999999E-2</v>
      </c>
      <c r="F19" s="109">
        <f>I19*0.49116</f>
        <v>0.49115999999999999</v>
      </c>
      <c r="G19" s="109">
        <f>I19*0.03453</f>
        <v>3.4529999999999998E-2</v>
      </c>
      <c r="H19" s="111">
        <f>I19*25.4</f>
        <v>25.4</v>
      </c>
      <c r="I19" s="104">
        <v>1</v>
      </c>
    </row>
    <row r="20" spans="2:10" x14ac:dyDescent="0.2">
      <c r="B20" s="103"/>
      <c r="J20" s="103"/>
    </row>
    <row r="24" spans="2:10" x14ac:dyDescent="0.2">
      <c r="B24" s="104" t="s">
        <v>263</v>
      </c>
    </row>
    <row r="26" spans="2:10" x14ac:dyDescent="0.2">
      <c r="C26" s="105" t="s">
        <v>264</v>
      </c>
      <c r="D26" s="106" t="s">
        <v>265</v>
      </c>
      <c r="E26" s="106" t="s">
        <v>266</v>
      </c>
      <c r="F26" s="106" t="s">
        <v>267</v>
      </c>
    </row>
    <row r="27" spans="2:10" x14ac:dyDescent="0.2">
      <c r="B27" s="107" t="s">
        <v>264</v>
      </c>
      <c r="C27" s="104">
        <v>1</v>
      </c>
      <c r="D27" s="108">
        <f>C27+273</f>
        <v>274</v>
      </c>
      <c r="E27" s="109">
        <f>1.8*C27+32</f>
        <v>33.799999999999997</v>
      </c>
      <c r="F27" s="109">
        <f>D27*1.8</f>
        <v>493.2</v>
      </c>
    </row>
    <row r="28" spans="2:10" x14ac:dyDescent="0.2">
      <c r="B28" s="110" t="s">
        <v>265</v>
      </c>
      <c r="C28" s="111">
        <f>D28-273</f>
        <v>-272</v>
      </c>
      <c r="D28" s="104">
        <v>1</v>
      </c>
      <c r="E28" s="108">
        <f>(C28*1.8)+32</f>
        <v>-457.6</v>
      </c>
      <c r="F28" s="109">
        <f>1.8*D28</f>
        <v>1.8</v>
      </c>
    </row>
    <row r="29" spans="2:10" x14ac:dyDescent="0.2">
      <c r="B29" s="110" t="s">
        <v>266</v>
      </c>
      <c r="C29" s="109">
        <f>(E29-32)/1.8</f>
        <v>-17.222222222222221</v>
      </c>
      <c r="D29" s="111">
        <f>C29+273</f>
        <v>255.77777777777777</v>
      </c>
      <c r="E29" s="104">
        <v>1</v>
      </c>
      <c r="F29" s="108">
        <f>E29+459.67</f>
        <v>460.67</v>
      </c>
    </row>
    <row r="30" spans="2:10" x14ac:dyDescent="0.2">
      <c r="B30" s="110" t="s">
        <v>267</v>
      </c>
      <c r="C30" s="109">
        <f>(E30-32)/1.8</f>
        <v>-272.59444444444443</v>
      </c>
      <c r="D30" s="109">
        <f>F30/1.8</f>
        <v>0.55555555555555558</v>
      </c>
      <c r="E30" s="111">
        <f>F30-459.67</f>
        <v>-458.67</v>
      </c>
      <c r="F30" s="104">
        <v>1</v>
      </c>
    </row>
    <row r="34" spans="2:6" x14ac:dyDescent="0.2">
      <c r="B34" s="104" t="s">
        <v>268</v>
      </c>
    </row>
    <row r="36" spans="2:6" x14ac:dyDescent="0.2">
      <c r="C36" s="105" t="s">
        <v>269</v>
      </c>
      <c r="D36" s="106" t="s">
        <v>270</v>
      </c>
      <c r="E36" s="106" t="s">
        <v>271</v>
      </c>
      <c r="F36" s="106" t="s">
        <v>272</v>
      </c>
    </row>
    <row r="37" spans="2:6" x14ac:dyDescent="0.2">
      <c r="B37" s="107" t="s">
        <v>269</v>
      </c>
      <c r="C37" s="112">
        <v>1</v>
      </c>
      <c r="D37" s="108">
        <f>C37*39.37</f>
        <v>39.369999999999997</v>
      </c>
      <c r="E37" s="109">
        <f>C37*3.2808</f>
        <v>3.2808000000000002</v>
      </c>
      <c r="F37" s="109">
        <f>C37*0.0006214</f>
        <v>6.2140000000000003E-4</v>
      </c>
    </row>
    <row r="38" spans="2:6" x14ac:dyDescent="0.2">
      <c r="B38" s="110" t="s">
        <v>270</v>
      </c>
      <c r="C38" s="111">
        <f>D38*0.0254</f>
        <v>2.5399999999999999E-2</v>
      </c>
      <c r="D38" s="112">
        <v>1</v>
      </c>
      <c r="E38" s="108">
        <f>D38*0.08333</f>
        <v>8.3330000000000001E-2</v>
      </c>
      <c r="F38" s="109">
        <f>D38*0.0000158</f>
        <v>1.5800000000000001E-5</v>
      </c>
    </row>
    <row r="39" spans="2:6" x14ac:dyDescent="0.2">
      <c r="B39" s="110" t="s">
        <v>271</v>
      </c>
      <c r="C39" s="109">
        <f>E39*0.3048</f>
        <v>0.30480000000000002</v>
      </c>
      <c r="D39" s="111">
        <f>E39*12</f>
        <v>12</v>
      </c>
      <c r="E39" s="112">
        <v>1</v>
      </c>
      <c r="F39" s="108">
        <f>E39*0.00018939</f>
        <v>1.8939E-4</v>
      </c>
    </row>
    <row r="40" spans="2:6" x14ac:dyDescent="0.2">
      <c r="B40" s="110" t="s">
        <v>272</v>
      </c>
      <c r="C40" s="109">
        <f>F40*1610</f>
        <v>1610</v>
      </c>
      <c r="D40" s="109">
        <f>F40*63360</f>
        <v>63360</v>
      </c>
      <c r="E40" s="111">
        <f>F40*5280</f>
        <v>5280</v>
      </c>
      <c r="F40" s="112">
        <v>1</v>
      </c>
    </row>
    <row r="44" spans="2:6" x14ac:dyDescent="0.2">
      <c r="B44" s="104" t="s">
        <v>273</v>
      </c>
    </row>
    <row r="46" spans="2:6" x14ac:dyDescent="0.2">
      <c r="C46" s="105" t="s">
        <v>274</v>
      </c>
      <c r="D46" s="113" t="s">
        <v>275</v>
      </c>
      <c r="E46" s="106" t="s">
        <v>276</v>
      </c>
    </row>
    <row r="47" spans="2:6" x14ac:dyDescent="0.2">
      <c r="B47" s="107" t="s">
        <v>274</v>
      </c>
      <c r="C47" s="112">
        <v>1</v>
      </c>
      <c r="D47" s="114">
        <f>C47*1550</f>
        <v>1550</v>
      </c>
      <c r="E47" s="109">
        <f>C47*10.764</f>
        <v>10.763999999999999</v>
      </c>
    </row>
    <row r="48" spans="2:6" x14ac:dyDescent="0.2">
      <c r="B48" s="110" t="s">
        <v>275</v>
      </c>
      <c r="C48" s="111">
        <f>D48*0.0006451</f>
        <v>6.4510000000000001E-4</v>
      </c>
      <c r="D48" s="112">
        <v>1</v>
      </c>
      <c r="E48" s="115">
        <f>D48*0.006944</f>
        <v>6.9439999999999997E-3</v>
      </c>
    </row>
    <row r="49" spans="2:8" x14ac:dyDescent="0.2">
      <c r="B49" s="110" t="s">
        <v>276</v>
      </c>
      <c r="C49" s="109">
        <f>E49*0.0929</f>
        <v>9.2899999999999996E-2</v>
      </c>
      <c r="D49" s="111">
        <f>E49*144</f>
        <v>144</v>
      </c>
      <c r="E49" s="112">
        <v>1</v>
      </c>
    </row>
    <row r="53" spans="2:8" x14ac:dyDescent="0.2">
      <c r="B53" s="104" t="s">
        <v>277</v>
      </c>
    </row>
    <row r="55" spans="2:8" x14ac:dyDescent="0.2">
      <c r="C55" s="105" t="s">
        <v>278</v>
      </c>
      <c r="D55" s="106" t="s">
        <v>279</v>
      </c>
      <c r="E55" s="106" t="s">
        <v>280</v>
      </c>
      <c r="F55" s="106" t="s">
        <v>281</v>
      </c>
      <c r="G55" s="106" t="s">
        <v>282</v>
      </c>
      <c r="H55" s="106" t="s">
        <v>283</v>
      </c>
    </row>
    <row r="56" spans="2:8" x14ac:dyDescent="0.2">
      <c r="B56" s="107" t="s">
        <v>278</v>
      </c>
      <c r="C56" s="112">
        <v>1</v>
      </c>
      <c r="D56" s="108">
        <f>C56*61023.7</f>
        <v>61023.7</v>
      </c>
      <c r="E56" s="109">
        <f>C56*35.314</f>
        <v>35.314</v>
      </c>
      <c r="F56" s="109">
        <f>C56*1000000</f>
        <v>1000000</v>
      </c>
      <c r="G56" s="109">
        <f>C56*1000</f>
        <v>1000</v>
      </c>
      <c r="H56" s="109">
        <f>C56*264.17</f>
        <v>264.17</v>
      </c>
    </row>
    <row r="57" spans="2:8" x14ac:dyDescent="0.2">
      <c r="B57" s="110" t="s">
        <v>279</v>
      </c>
      <c r="C57" s="111">
        <f>D57*0.00001638</f>
        <v>1.6379999999999999E-5</v>
      </c>
      <c r="D57" s="112">
        <v>1</v>
      </c>
      <c r="E57" s="108">
        <f>D57*0.0005787</f>
        <v>5.7870000000000003E-4</v>
      </c>
      <c r="F57" s="109">
        <f>D57*16.38</f>
        <v>16.38</v>
      </c>
      <c r="G57" s="109">
        <f>D57*0.01638</f>
        <v>1.6379999999999999E-2</v>
      </c>
      <c r="H57" s="109">
        <f>D57*0.004329</f>
        <v>4.3290000000000004E-3</v>
      </c>
    </row>
    <row r="58" spans="2:8" x14ac:dyDescent="0.2">
      <c r="B58" s="110" t="s">
        <v>280</v>
      </c>
      <c r="C58" s="109">
        <f>E58*0.02831</f>
        <v>2.8309999999999998E-2</v>
      </c>
      <c r="D58" s="111">
        <f>E58*1728</f>
        <v>1728</v>
      </c>
      <c r="E58" s="112">
        <v>1</v>
      </c>
      <c r="F58" s="108">
        <f>E58*28317</f>
        <v>28317</v>
      </c>
      <c r="G58" s="109">
        <f>E58*28.33</f>
        <v>28.33</v>
      </c>
      <c r="H58" s="109">
        <f>E58*7.4805</f>
        <v>7.4805000000000001</v>
      </c>
    </row>
    <row r="59" spans="2:8" x14ac:dyDescent="0.2">
      <c r="B59" s="110" t="s">
        <v>281</v>
      </c>
      <c r="C59" s="109">
        <f>F59*0.000001</f>
        <v>9.9999999999999995E-7</v>
      </c>
      <c r="D59" s="109">
        <f>F59*0.061</f>
        <v>6.0999999999999999E-2</v>
      </c>
      <c r="E59" s="111">
        <f>F59*0.0000353</f>
        <v>3.5299999999999997E-5</v>
      </c>
      <c r="F59" s="112">
        <v>1</v>
      </c>
      <c r="G59" s="108">
        <f>F59*0.001</f>
        <v>1E-3</v>
      </c>
      <c r="H59" s="109">
        <f>F59*0.0002642</f>
        <v>2.6420000000000003E-4</v>
      </c>
    </row>
    <row r="60" spans="2:8" x14ac:dyDescent="0.2">
      <c r="B60" s="110" t="s">
        <v>282</v>
      </c>
      <c r="C60" s="109">
        <f>G60*0.001</f>
        <v>1E-3</v>
      </c>
      <c r="D60" s="109">
        <f>G60*61.023</f>
        <v>61.023000000000003</v>
      </c>
      <c r="E60" s="109">
        <f>G60*0.0353</f>
        <v>3.5299999999999998E-2</v>
      </c>
      <c r="F60" s="111">
        <f>G60*1000</f>
        <v>1000</v>
      </c>
      <c r="G60" s="112">
        <v>1</v>
      </c>
      <c r="H60" s="108">
        <f>G60*0.2642</f>
        <v>0.26419999999999999</v>
      </c>
    </row>
    <row r="61" spans="2:8" x14ac:dyDescent="0.2">
      <c r="B61" s="110" t="s">
        <v>283</v>
      </c>
      <c r="C61" s="109">
        <f>H61*0.003785</f>
        <v>3.7850000000000002E-3</v>
      </c>
      <c r="D61" s="109">
        <f>H61*231</f>
        <v>231</v>
      </c>
      <c r="E61" s="109">
        <f>H61*0.1337</f>
        <v>0.13370000000000001</v>
      </c>
      <c r="F61" s="109">
        <f>H61*3785</f>
        <v>3785</v>
      </c>
      <c r="G61" s="111">
        <f>H61*3.785</f>
        <v>3.7850000000000001</v>
      </c>
      <c r="H61" s="112">
        <v>1</v>
      </c>
    </row>
    <row r="65" spans="2:9" x14ac:dyDescent="0.2">
      <c r="B65" s="104" t="s">
        <v>284</v>
      </c>
    </row>
    <row r="67" spans="2:9" x14ac:dyDescent="0.2">
      <c r="B67" s="103"/>
      <c r="C67" s="105" t="s">
        <v>285</v>
      </c>
      <c r="D67" s="106" t="s">
        <v>286</v>
      </c>
      <c r="E67" s="106" t="s">
        <v>287</v>
      </c>
      <c r="F67" s="106" t="s">
        <v>288</v>
      </c>
    </row>
    <row r="68" spans="2:9" x14ac:dyDescent="0.2">
      <c r="B68" s="107" t="s">
        <v>285</v>
      </c>
      <c r="C68" s="112">
        <v>1</v>
      </c>
      <c r="D68" s="108">
        <f>C68*0.0625</f>
        <v>6.25E-2</v>
      </c>
      <c r="E68" s="109">
        <f>C68*28.38/1000</f>
        <v>2.8379999999999999E-2</v>
      </c>
      <c r="F68" s="109">
        <f>C68*28.35</f>
        <v>28.35</v>
      </c>
    </row>
    <row r="69" spans="2:9" x14ac:dyDescent="0.2">
      <c r="B69" s="110" t="s">
        <v>286</v>
      </c>
      <c r="C69" s="111">
        <f>D69*16</f>
        <v>16</v>
      </c>
      <c r="D69" s="112">
        <v>1</v>
      </c>
      <c r="E69" s="108">
        <f>D69*453.6/1000</f>
        <v>0.4536</v>
      </c>
      <c r="F69" s="109">
        <f>D69*453.6</f>
        <v>453.6</v>
      </c>
    </row>
    <row r="70" spans="2:9" x14ac:dyDescent="0.2">
      <c r="B70" s="110" t="s">
        <v>287</v>
      </c>
      <c r="C70" s="109">
        <f>E70/0.02838</f>
        <v>35.236081747709655</v>
      </c>
      <c r="D70" s="111">
        <f>E70/0.4536</f>
        <v>2.204585537918871</v>
      </c>
      <c r="E70" s="112">
        <v>1</v>
      </c>
      <c r="F70" s="108">
        <f>E70*1000</f>
        <v>1000</v>
      </c>
      <c r="I70" s="103"/>
    </row>
    <row r="71" spans="2:9" x14ac:dyDescent="0.2">
      <c r="B71" s="110" t="s">
        <v>288</v>
      </c>
      <c r="C71" s="109">
        <f>F71*0.03527</f>
        <v>3.5270000000000003E-2</v>
      </c>
      <c r="D71" s="109">
        <f>F71*0.0022</f>
        <v>2.2000000000000001E-3</v>
      </c>
      <c r="E71" s="111">
        <f>F71/1000</f>
        <v>1E-3</v>
      </c>
      <c r="F71" s="112">
        <v>1</v>
      </c>
    </row>
    <row r="75" spans="2:9" x14ac:dyDescent="0.2">
      <c r="B75" s="104" t="s">
        <v>289</v>
      </c>
    </row>
    <row r="77" spans="2:9" x14ac:dyDescent="0.2">
      <c r="C77" s="116" t="s">
        <v>290</v>
      </c>
      <c r="D77" s="117" t="s">
        <v>291</v>
      </c>
      <c r="E77" s="117" t="s">
        <v>292</v>
      </c>
      <c r="F77" s="117" t="s">
        <v>293</v>
      </c>
      <c r="G77" s="117" t="s">
        <v>294</v>
      </c>
      <c r="H77" s="117" t="s">
        <v>295</v>
      </c>
    </row>
    <row r="78" spans="2:9" x14ac:dyDescent="0.2">
      <c r="B78" s="118" t="s">
        <v>290</v>
      </c>
      <c r="C78" s="112">
        <v>1</v>
      </c>
      <c r="D78" s="108">
        <f>C78*0.0000002777</f>
        <v>2.7770000000000001E-7</v>
      </c>
      <c r="E78" s="109">
        <f>C78*0.00023901</f>
        <v>2.3901E-4</v>
      </c>
      <c r="F78" s="109">
        <f>C78*0.00023901*1000</f>
        <v>0.23901</v>
      </c>
      <c r="G78" s="109">
        <f>C78*0.0009478</f>
        <v>9.4780000000000005E-4</v>
      </c>
      <c r="H78" s="109">
        <f>C78*0.0000003728</f>
        <v>3.728E-7</v>
      </c>
    </row>
    <row r="79" spans="2:9" x14ac:dyDescent="0.2">
      <c r="B79" s="119" t="s">
        <v>291</v>
      </c>
      <c r="C79" s="111">
        <f>D79*3600000</f>
        <v>3600000</v>
      </c>
      <c r="D79" s="112">
        <v>1</v>
      </c>
      <c r="E79" s="108">
        <f>D79*860.4</f>
        <v>860.4</v>
      </c>
      <c r="F79" s="109">
        <f>D79*860.4*1000</f>
        <v>860400</v>
      </c>
      <c r="G79" s="109">
        <f>D79*3412.2</f>
        <v>3412.2</v>
      </c>
      <c r="H79" s="109">
        <f>D79*1.341</f>
        <v>1.341</v>
      </c>
    </row>
    <row r="80" spans="2:9" x14ac:dyDescent="0.2">
      <c r="B80" s="119" t="s">
        <v>292</v>
      </c>
      <c r="C80" s="109">
        <f>E80*4184</f>
        <v>4184</v>
      </c>
      <c r="D80" s="111">
        <f>E80*0.0011622</f>
        <v>1.1622E-3</v>
      </c>
      <c r="E80" s="112">
        <v>1</v>
      </c>
      <c r="F80" s="108">
        <f>E80*1000</f>
        <v>1000</v>
      </c>
      <c r="G80" s="109">
        <f>E80*3.9657</f>
        <v>3.9657</v>
      </c>
      <c r="H80" s="109">
        <f>E80*0.001558</f>
        <v>1.5579999999999999E-3</v>
      </c>
    </row>
    <row r="81" spans="2:8" x14ac:dyDescent="0.2">
      <c r="B81" s="119" t="s">
        <v>293</v>
      </c>
      <c r="C81" s="109">
        <f>F81/0.23901</f>
        <v>4.1839253587715994</v>
      </c>
      <c r="D81" s="109">
        <f>F81/860400</f>
        <v>1.1622501162250117E-6</v>
      </c>
      <c r="E81" s="111">
        <f>F81/1000</f>
        <v>1E-3</v>
      </c>
      <c r="F81" s="112">
        <v>1</v>
      </c>
      <c r="G81" s="108">
        <f>F81/252.2</f>
        <v>3.9651070578905628E-3</v>
      </c>
      <c r="H81" s="109">
        <f>F81/641620</f>
        <v>1.5585549078894049E-6</v>
      </c>
    </row>
    <row r="82" spans="2:8" x14ac:dyDescent="0.2">
      <c r="B82" s="119" t="s">
        <v>294</v>
      </c>
      <c r="C82" s="109">
        <f>G82*1055</f>
        <v>1055</v>
      </c>
      <c r="D82" s="109">
        <f>G82*0.000293</f>
        <v>2.9300000000000002E-4</v>
      </c>
      <c r="E82" s="109">
        <f>G82*0.2522</f>
        <v>0.25219999999999998</v>
      </c>
      <c r="F82" s="111">
        <f>G82*0.2522*1000</f>
        <v>252.2</v>
      </c>
      <c r="G82" s="112">
        <v>1</v>
      </c>
      <c r="H82" s="108">
        <f>G82*0.00039302</f>
        <v>3.9302E-4</v>
      </c>
    </row>
    <row r="83" spans="2:8" x14ac:dyDescent="0.2">
      <c r="B83" s="119" t="s">
        <v>295</v>
      </c>
      <c r="C83" s="109">
        <f>H83*2684500</f>
        <v>2684500</v>
      </c>
      <c r="D83" s="109">
        <f>H83*0.7457</f>
        <v>0.74570000000000003</v>
      </c>
      <c r="E83" s="109">
        <f>H83*641.62</f>
        <v>641.62</v>
      </c>
      <c r="F83" s="109">
        <f>H83*641.62*1000</f>
        <v>641620</v>
      </c>
      <c r="G83" s="111">
        <f>H83*2544.5</f>
        <v>2544.5</v>
      </c>
      <c r="H83" s="112">
        <v>1</v>
      </c>
    </row>
    <row r="87" spans="2:8" x14ac:dyDescent="0.2">
      <c r="B87" s="104" t="s">
        <v>296</v>
      </c>
    </row>
    <row r="89" spans="2:8" x14ac:dyDescent="0.2">
      <c r="C89" s="105" t="s">
        <v>297</v>
      </c>
      <c r="D89" s="106" t="s">
        <v>298</v>
      </c>
      <c r="E89" s="106" t="s">
        <v>299</v>
      </c>
    </row>
    <row r="90" spans="2:8" x14ac:dyDescent="0.2">
      <c r="B90" s="107" t="s">
        <v>297</v>
      </c>
      <c r="C90" s="104">
        <v>1</v>
      </c>
      <c r="D90" s="108">
        <f>C90*0.10198</f>
        <v>0.10198</v>
      </c>
      <c r="E90" s="109">
        <f>C90*0.2246</f>
        <v>0.22459999999999999</v>
      </c>
    </row>
    <row r="91" spans="2:8" x14ac:dyDescent="0.2">
      <c r="B91" s="110" t="s">
        <v>298</v>
      </c>
      <c r="C91" s="111">
        <f>D91*9.806</f>
        <v>9.8059999999999992</v>
      </c>
      <c r="D91" s="104">
        <v>1</v>
      </c>
      <c r="E91" s="108">
        <f>D91*2.202</f>
        <v>2.202</v>
      </c>
    </row>
    <row r="92" spans="2:8" x14ac:dyDescent="0.2">
      <c r="B92" s="110" t="s">
        <v>299</v>
      </c>
      <c r="C92" s="109">
        <f>E92*4.4519</f>
        <v>4.4519000000000002</v>
      </c>
      <c r="D92" s="111">
        <f>E92*0.454</f>
        <v>0.45400000000000001</v>
      </c>
      <c r="E92" s="104">
        <v>1</v>
      </c>
    </row>
    <row r="96" spans="2:8" x14ac:dyDescent="0.2">
      <c r="B96" s="104" t="s">
        <v>300</v>
      </c>
      <c r="C96" s="103"/>
    </row>
    <row r="98" spans="2:8" x14ac:dyDescent="0.2">
      <c r="C98" s="105" t="s">
        <v>301</v>
      </c>
      <c r="D98" s="106" t="s">
        <v>302</v>
      </c>
      <c r="E98" s="106" t="s">
        <v>303</v>
      </c>
      <c r="F98" s="106" t="s">
        <v>304</v>
      </c>
    </row>
    <row r="99" spans="2:8" x14ac:dyDescent="0.2">
      <c r="B99" s="107" t="s">
        <v>301</v>
      </c>
      <c r="C99" s="104">
        <v>1</v>
      </c>
      <c r="D99" s="108">
        <f>C99*0.8604</f>
        <v>0.86040000000000005</v>
      </c>
      <c r="E99" s="109">
        <f>C99*3.413</f>
        <v>3.4129999999999998</v>
      </c>
      <c r="F99" s="109">
        <f>C99*0.001341</f>
        <v>1.341E-3</v>
      </c>
    </row>
    <row r="100" spans="2:8" x14ac:dyDescent="0.2">
      <c r="B100" s="110" t="s">
        <v>302</v>
      </c>
      <c r="C100" s="111">
        <f>D100*1.1611</f>
        <v>1.1611</v>
      </c>
      <c r="D100" s="104">
        <v>1</v>
      </c>
      <c r="E100" s="108">
        <f>D100*3.9657</f>
        <v>3.9657</v>
      </c>
      <c r="F100" s="109">
        <f>D100*0.001555</f>
        <v>1.555E-3</v>
      </c>
    </row>
    <row r="101" spans="2:8" x14ac:dyDescent="0.2">
      <c r="B101" s="110" t="s">
        <v>303</v>
      </c>
      <c r="C101" s="109">
        <f>E101*0.2926</f>
        <v>0.29260000000000003</v>
      </c>
      <c r="D101" s="111">
        <f>E101*0.2522</f>
        <v>0.25219999999999998</v>
      </c>
      <c r="E101" s="104">
        <v>1</v>
      </c>
      <c r="F101" s="108">
        <f>E101*0.0003929</f>
        <v>3.9290000000000001E-4</v>
      </c>
    </row>
    <row r="102" spans="2:8" x14ac:dyDescent="0.2">
      <c r="B102" s="110" t="s">
        <v>304</v>
      </c>
      <c r="C102" s="109">
        <f>F102*745.7</f>
        <v>745.7</v>
      </c>
      <c r="D102" s="109">
        <f>F102*641.62</f>
        <v>641.62</v>
      </c>
      <c r="E102" s="111">
        <f>F102*2545</f>
        <v>2545</v>
      </c>
      <c r="F102" s="104">
        <v>1</v>
      </c>
    </row>
    <row r="106" spans="2:8" x14ac:dyDescent="0.2">
      <c r="B106" s="104" t="s">
        <v>305</v>
      </c>
    </row>
    <row r="108" spans="2:8" x14ac:dyDescent="0.2">
      <c r="C108" s="105" t="s">
        <v>306</v>
      </c>
      <c r="D108" s="106" t="s">
        <v>245</v>
      </c>
      <c r="E108" s="106" t="s">
        <v>307</v>
      </c>
      <c r="F108" s="106" t="s">
        <v>308</v>
      </c>
      <c r="G108" s="106" t="s">
        <v>309</v>
      </c>
      <c r="H108" s="106" t="s">
        <v>310</v>
      </c>
    </row>
    <row r="109" spans="2:8" x14ac:dyDescent="0.2">
      <c r="B109" s="107" t="s">
        <v>311</v>
      </c>
      <c r="C109" s="104">
        <v>1</v>
      </c>
      <c r="D109" s="108">
        <f>C109*1000</f>
        <v>1000</v>
      </c>
      <c r="E109" s="109">
        <f>C109*0.672</f>
        <v>0.67200000000000004</v>
      </c>
      <c r="F109" s="109">
        <f>C109*0.0209</f>
        <v>2.0899999999999998E-2</v>
      </c>
      <c r="G109" s="109">
        <f>C109*2420</f>
        <v>2420</v>
      </c>
      <c r="H109" s="109">
        <f>C109*3600</f>
        <v>3600</v>
      </c>
    </row>
    <row r="110" spans="2:8" x14ac:dyDescent="0.2">
      <c r="B110" s="110" t="s">
        <v>245</v>
      </c>
      <c r="C110" s="111">
        <f>D110*0.001</f>
        <v>1E-3</v>
      </c>
      <c r="D110" s="104">
        <v>1</v>
      </c>
      <c r="E110" s="108">
        <f>D110*0.000672</f>
        <v>6.7199999999999996E-4</v>
      </c>
      <c r="F110" s="109">
        <f>D110*0.000029</f>
        <v>2.9E-5</v>
      </c>
      <c r="G110" s="109">
        <f>D110*2.42</f>
        <v>2.42</v>
      </c>
      <c r="H110" s="109">
        <f>D110*3.6</f>
        <v>3.6</v>
      </c>
    </row>
    <row r="111" spans="2:8" x14ac:dyDescent="0.2">
      <c r="B111" s="110" t="s">
        <v>307</v>
      </c>
      <c r="C111" s="109">
        <f>E111*1.49</f>
        <v>1.49</v>
      </c>
      <c r="D111" s="111">
        <f>E111*1490</f>
        <v>1490</v>
      </c>
      <c r="E111" s="104">
        <v>1</v>
      </c>
      <c r="F111" s="108">
        <f>E111*0.0311</f>
        <v>3.1099999999999999E-2</v>
      </c>
      <c r="G111" s="109">
        <f>E111*3600</f>
        <v>3600</v>
      </c>
      <c r="H111" s="109">
        <f>E111*5350</f>
        <v>5350</v>
      </c>
    </row>
    <row r="112" spans="2:8" x14ac:dyDescent="0.2">
      <c r="B112" s="110" t="s">
        <v>308</v>
      </c>
      <c r="C112" s="109">
        <f>F112*0.000277778*14.882</f>
        <v>4.1338921960000002E-3</v>
      </c>
      <c r="D112" s="109">
        <f>F112*0.00041338*1000</f>
        <v>0.41337999999999997</v>
      </c>
      <c r="E112" s="111">
        <f>F112*0.00041338</f>
        <v>4.1337999999999998E-4</v>
      </c>
      <c r="F112" s="104">
        <v>1</v>
      </c>
      <c r="G112" s="108">
        <f>F112/3600</f>
        <v>2.7777777777777778E-4</v>
      </c>
      <c r="H112" s="109">
        <f>G112/3600</f>
        <v>7.7160493827160495E-8</v>
      </c>
    </row>
    <row r="113" spans="2:8" x14ac:dyDescent="0.2">
      <c r="B113" s="110" t="s">
        <v>309</v>
      </c>
      <c r="C113" s="109">
        <f>G113*0.0004134</f>
        <v>4.1340000000000002E-4</v>
      </c>
      <c r="D113" s="109">
        <f>G113*0.4134</f>
        <v>0.41339999999999999</v>
      </c>
      <c r="E113" s="109">
        <f>G113*0.000278</f>
        <v>2.7799999999999998E-4</v>
      </c>
      <c r="F113" s="111">
        <f>G113*0.00000864</f>
        <v>8.6400000000000003E-6</v>
      </c>
      <c r="G113" s="104">
        <v>1</v>
      </c>
      <c r="H113" s="108">
        <f>G113*1.49</f>
        <v>1.49</v>
      </c>
    </row>
    <row r="114" spans="2:8" x14ac:dyDescent="0.2">
      <c r="B114" s="110" t="s">
        <v>310</v>
      </c>
      <c r="C114" s="109">
        <f>H114*0.000278</f>
        <v>2.7799999999999998E-4</v>
      </c>
      <c r="D114" s="109">
        <f>H114*0.278</f>
        <v>0.27800000000000002</v>
      </c>
      <c r="E114" s="109">
        <f>H114*0.000187</f>
        <v>1.8699999999999999E-4</v>
      </c>
      <c r="F114" s="109">
        <f>H114*0.0000581</f>
        <v>5.8100000000000003E-5</v>
      </c>
      <c r="G114" s="111">
        <f>H114*0.672</f>
        <v>0.67200000000000004</v>
      </c>
      <c r="H114" s="104">
        <v>1</v>
      </c>
    </row>
    <row r="118" spans="2:8" x14ac:dyDescent="0.2">
      <c r="B118" s="104" t="s">
        <v>312</v>
      </c>
    </row>
    <row r="120" spans="2:8" x14ac:dyDescent="0.2">
      <c r="C120" s="105" t="s">
        <v>313</v>
      </c>
      <c r="D120" s="106" t="s">
        <v>314</v>
      </c>
      <c r="E120" s="106" t="s">
        <v>315</v>
      </c>
      <c r="F120" s="106" t="s">
        <v>316</v>
      </c>
    </row>
    <row r="121" spans="2:8" x14ac:dyDescent="0.2">
      <c r="B121" s="107" t="s">
        <v>313</v>
      </c>
      <c r="C121" s="104">
        <v>1</v>
      </c>
      <c r="D121" s="108">
        <f>C121/16.019</f>
        <v>6.242586928022973E-2</v>
      </c>
      <c r="E121" s="109">
        <f>C121/1000*0.03612717</f>
        <v>3.612717E-5</v>
      </c>
      <c r="F121" s="109">
        <f>C121/1000</f>
        <v>1E-3</v>
      </c>
    </row>
    <row r="122" spans="2:8" x14ac:dyDescent="0.2">
      <c r="B122" s="110" t="s">
        <v>314</v>
      </c>
      <c r="C122" s="111">
        <f>D122*16.019</f>
        <v>16.018999999999998</v>
      </c>
      <c r="D122" s="104">
        <v>1</v>
      </c>
      <c r="E122" s="108">
        <f>D122*0.016019*0.03612717</f>
        <v>5.7872113622999997E-4</v>
      </c>
      <c r="F122" s="109">
        <f>D122/62.42586</f>
        <v>1.6019002381384893E-2</v>
      </c>
    </row>
    <row r="123" spans="2:8" x14ac:dyDescent="0.2">
      <c r="B123" s="110" t="s">
        <v>315</v>
      </c>
      <c r="C123" s="109">
        <f>E123/0.0000361272</f>
        <v>27679.975198742221</v>
      </c>
      <c r="D123" s="111">
        <f>E123/0.00057872</f>
        <v>1727.9513408902405</v>
      </c>
      <c r="E123" s="104">
        <v>1</v>
      </c>
      <c r="F123" s="108">
        <f>E123*27.68</f>
        <v>27.68</v>
      </c>
    </row>
    <row r="124" spans="2:8" x14ac:dyDescent="0.2">
      <c r="B124" s="110" t="s">
        <v>316</v>
      </c>
      <c r="C124" s="109">
        <f>F124*1000</f>
        <v>1000</v>
      </c>
      <c r="D124" s="109">
        <f>F124*1000*0.06242586</f>
        <v>62.42586</v>
      </c>
      <c r="E124" s="111">
        <f>F124/27.68</f>
        <v>3.6127167630057806E-2</v>
      </c>
      <c r="F124" s="104">
        <v>1</v>
      </c>
    </row>
    <row r="128" spans="2:8" x14ac:dyDescent="0.2">
      <c r="B128" s="104" t="s">
        <v>317</v>
      </c>
      <c r="C128" s="103"/>
    </row>
    <row r="130" spans="2:7" x14ac:dyDescent="0.2">
      <c r="C130" s="105" t="s">
        <v>318</v>
      </c>
      <c r="D130" s="106" t="s">
        <v>319</v>
      </c>
      <c r="E130" s="103"/>
    </row>
    <row r="131" spans="2:7" x14ac:dyDescent="0.2">
      <c r="B131" s="107" t="s">
        <v>318</v>
      </c>
      <c r="C131" s="104">
        <v>1</v>
      </c>
      <c r="D131" s="108">
        <f>C131*0.000239</f>
        <v>2.3900000000000001E-4</v>
      </c>
    </row>
    <row r="132" spans="2:7" x14ac:dyDescent="0.2">
      <c r="B132" s="110" t="s">
        <v>319</v>
      </c>
      <c r="C132" s="111">
        <f>D132*4184</f>
        <v>4184</v>
      </c>
      <c r="D132" s="104">
        <v>1</v>
      </c>
    </row>
    <row r="136" spans="2:7" x14ac:dyDescent="0.2">
      <c r="B136" s="104" t="s">
        <v>320</v>
      </c>
      <c r="C136" s="103"/>
      <c r="D136" s="103"/>
    </row>
    <row r="138" spans="2:7" x14ac:dyDescent="0.2">
      <c r="C138" s="120" t="s">
        <v>321</v>
      </c>
      <c r="D138" s="110" t="s">
        <v>322</v>
      </c>
      <c r="E138" s="110" t="s">
        <v>323</v>
      </c>
      <c r="F138" s="110" t="s">
        <v>324</v>
      </c>
      <c r="G138" s="110" t="s">
        <v>325</v>
      </c>
    </row>
    <row r="139" spans="2:7" x14ac:dyDescent="0.2">
      <c r="B139" s="107" t="s">
        <v>321</v>
      </c>
      <c r="C139" s="104">
        <v>1</v>
      </c>
      <c r="D139" s="108">
        <f>C139*0.1761</f>
        <v>0.17610000000000001</v>
      </c>
      <c r="E139" s="109">
        <f>C139*0.00002388</f>
        <v>2.3879999999999998E-5</v>
      </c>
      <c r="F139" s="109">
        <f>C139*0.0001</f>
        <v>1E-4</v>
      </c>
      <c r="G139" s="109">
        <f>C139*0.86</f>
        <v>0.86</v>
      </c>
    </row>
    <row r="140" spans="2:7" x14ac:dyDescent="0.2">
      <c r="B140" s="110" t="s">
        <v>326</v>
      </c>
      <c r="C140" s="111">
        <f>D140*5.678</f>
        <v>5.6779999999999999</v>
      </c>
      <c r="D140" s="104">
        <v>1</v>
      </c>
      <c r="E140" s="108">
        <f>D140*0.0001355</f>
        <v>1.3549999999999999E-4</v>
      </c>
      <c r="F140" s="109">
        <f>D140*0.0005678</f>
        <v>5.6780000000000003E-4</v>
      </c>
      <c r="G140" s="109">
        <f>D140*4.882</f>
        <v>4.8819999999999997</v>
      </c>
    </row>
    <row r="141" spans="2:7" x14ac:dyDescent="0.2">
      <c r="B141" s="110" t="s">
        <v>323</v>
      </c>
      <c r="C141" s="109">
        <f>E141*41870</f>
        <v>41870</v>
      </c>
      <c r="D141" s="111">
        <f>E141*7373</f>
        <v>7373</v>
      </c>
      <c r="E141" s="104">
        <v>1</v>
      </c>
      <c r="F141" s="108">
        <f>E141*4.187</f>
        <v>4.1870000000000003</v>
      </c>
      <c r="G141" s="109">
        <f>E141*36000</f>
        <v>36000</v>
      </c>
    </row>
    <row r="142" spans="2:7" x14ac:dyDescent="0.2">
      <c r="B142" s="110" t="s">
        <v>324</v>
      </c>
      <c r="C142" s="109">
        <f>F142*10000</f>
        <v>10000</v>
      </c>
      <c r="D142" s="109">
        <f>F142*1.761</f>
        <v>1.7609999999999999</v>
      </c>
      <c r="E142" s="111">
        <f>F142*0.2388</f>
        <v>0.23880000000000001</v>
      </c>
      <c r="F142" s="104">
        <v>1</v>
      </c>
      <c r="G142" s="108">
        <f>F142*8600</f>
        <v>8600</v>
      </c>
    </row>
    <row r="143" spans="2:7" x14ac:dyDescent="0.2">
      <c r="B143" s="110" t="s">
        <v>325</v>
      </c>
      <c r="C143" s="109">
        <f>G143*1.163</f>
        <v>1.163</v>
      </c>
      <c r="D143" s="109">
        <f>G143*0.2048</f>
        <v>0.20480000000000001</v>
      </c>
      <c r="E143" s="109">
        <f>G143*0.00002778</f>
        <v>2.7780000000000002E-5</v>
      </c>
      <c r="F143" s="111">
        <f>G143*0.0001163</f>
        <v>1.1629999999999999E-4</v>
      </c>
      <c r="G143" s="104">
        <v>1</v>
      </c>
    </row>
    <row r="146" spans="2:8" x14ac:dyDescent="0.2">
      <c r="B146" s="104" t="s">
        <v>327</v>
      </c>
    </row>
    <row r="147" spans="2:8" x14ac:dyDescent="0.2">
      <c r="F147" s="103"/>
    </row>
    <row r="148" spans="2:8" x14ac:dyDescent="0.2">
      <c r="C148" s="105" t="s">
        <v>328</v>
      </c>
      <c r="D148" s="106" t="s">
        <v>329</v>
      </c>
      <c r="E148" s="106" t="s">
        <v>330</v>
      </c>
      <c r="F148" s="106" t="s">
        <v>331</v>
      </c>
      <c r="G148" s="106" t="s">
        <v>332</v>
      </c>
    </row>
    <row r="149" spans="2:8" x14ac:dyDescent="0.2">
      <c r="B149" s="107" t="s">
        <v>328</v>
      </c>
      <c r="C149" s="112">
        <v>1</v>
      </c>
      <c r="D149" s="108">
        <f>C149*0.5779</f>
        <v>0.57789999999999997</v>
      </c>
      <c r="E149" s="109">
        <f>C149*0.002388</f>
        <v>2.3879999999999999E-3</v>
      </c>
      <c r="F149" s="109">
        <f>C149*0.01</f>
        <v>0.01</v>
      </c>
      <c r="G149" s="109">
        <f>C149*0.86</f>
        <v>0.86</v>
      </c>
    </row>
    <row r="150" spans="2:8" x14ac:dyDescent="0.2">
      <c r="B150" s="110" t="s">
        <v>329</v>
      </c>
      <c r="C150" s="111">
        <f>D150*1.731</f>
        <v>1.7310000000000001</v>
      </c>
      <c r="D150" s="112">
        <v>1</v>
      </c>
      <c r="E150" s="108">
        <f>D150*0.004134</f>
        <v>4.1339999999999997E-3</v>
      </c>
      <c r="F150" s="109">
        <f>D150*0.01731</f>
        <v>1.7309999999999999E-2</v>
      </c>
      <c r="G150" s="109">
        <f>D150*1.488</f>
        <v>1.488</v>
      </c>
    </row>
    <row r="151" spans="2:8" x14ac:dyDescent="0.2">
      <c r="B151" s="110" t="s">
        <v>330</v>
      </c>
      <c r="C151" s="109">
        <f>E151*418.7</f>
        <v>418.7</v>
      </c>
      <c r="D151" s="111">
        <f>E151*241.9</f>
        <v>241.9</v>
      </c>
      <c r="E151" s="112">
        <v>1</v>
      </c>
      <c r="F151" s="108">
        <f>E151*4.187</f>
        <v>4.1870000000000003</v>
      </c>
      <c r="G151" s="109">
        <f>E151*360</f>
        <v>360</v>
      </c>
    </row>
    <row r="152" spans="2:8" x14ac:dyDescent="0.2">
      <c r="B152" s="110" t="s">
        <v>331</v>
      </c>
      <c r="C152" s="109">
        <f>F152*100</f>
        <v>100</v>
      </c>
      <c r="D152" s="109">
        <f>F152*57.79</f>
        <v>57.79</v>
      </c>
      <c r="E152" s="111">
        <f>F152*0.2388</f>
        <v>0.23880000000000001</v>
      </c>
      <c r="F152" s="112">
        <v>1</v>
      </c>
      <c r="G152" s="108">
        <f>F152*86</f>
        <v>86</v>
      </c>
    </row>
    <row r="153" spans="2:8" x14ac:dyDescent="0.2">
      <c r="B153" s="110" t="s">
        <v>332</v>
      </c>
      <c r="C153" s="109">
        <f>G153*1.163</f>
        <v>1.163</v>
      </c>
      <c r="D153" s="109">
        <f>G153*0.672</f>
        <v>0.67200000000000004</v>
      </c>
      <c r="E153" s="109">
        <f>G153*0.002778</f>
        <v>2.7780000000000001E-3</v>
      </c>
      <c r="F153" s="111">
        <f>G153*0.01163</f>
        <v>1.163E-2</v>
      </c>
      <c r="G153" s="112">
        <v>1</v>
      </c>
    </row>
    <row r="154" spans="2:8" x14ac:dyDescent="0.2">
      <c r="B154" s="103"/>
    </row>
    <row r="158" spans="2:8" x14ac:dyDescent="0.2">
      <c r="B158" s="104" t="s">
        <v>333</v>
      </c>
    </row>
    <row r="160" spans="2:8" x14ac:dyDescent="0.2">
      <c r="C160" s="105" t="s">
        <v>334</v>
      </c>
      <c r="D160" s="106" t="s">
        <v>335</v>
      </c>
      <c r="E160" s="106" t="s">
        <v>336</v>
      </c>
      <c r="F160" s="106" t="s">
        <v>337</v>
      </c>
      <c r="G160" s="106" t="s">
        <v>338</v>
      </c>
      <c r="H160" s="106" t="s">
        <v>339</v>
      </c>
    </row>
    <row r="161" spans="2:12" x14ac:dyDescent="0.2">
      <c r="B161" s="107" t="s">
        <v>334</v>
      </c>
      <c r="C161" s="112">
        <v>1</v>
      </c>
      <c r="D161" s="108">
        <f>C161/3600</f>
        <v>2.7777777777777778E-4</v>
      </c>
      <c r="E161" s="109">
        <f>C161*1000</f>
        <v>1000</v>
      </c>
      <c r="F161" s="109">
        <f>C161*1000/3600</f>
        <v>0.27777777777777779</v>
      </c>
      <c r="G161" s="109">
        <f>C161/0.453</f>
        <v>2.2075055187637966</v>
      </c>
      <c r="H161" s="109">
        <f>C161*2.2075*0.0002778</f>
        <v>6.1324349999999992E-4</v>
      </c>
    </row>
    <row r="162" spans="2:12" x14ac:dyDescent="0.2">
      <c r="B162" s="110" t="s">
        <v>335</v>
      </c>
      <c r="C162" s="111">
        <f>D162*3600</f>
        <v>3600</v>
      </c>
      <c r="D162" s="112">
        <v>1</v>
      </c>
      <c r="E162" s="108">
        <f>D162*1000*3600</f>
        <v>3600000</v>
      </c>
      <c r="F162" s="109">
        <f>D162*1000</f>
        <v>1000</v>
      </c>
      <c r="G162" s="109">
        <f>D162/0.000125833</f>
        <v>7947.0409193136938</v>
      </c>
      <c r="H162" s="109">
        <f>D162*2.207505519</f>
        <v>2.2075055190000001</v>
      </c>
    </row>
    <row r="163" spans="2:12" x14ac:dyDescent="0.2">
      <c r="B163" s="110" t="s">
        <v>336</v>
      </c>
      <c r="C163" s="109">
        <f>E163/1000</f>
        <v>1E-3</v>
      </c>
      <c r="D163" s="111">
        <f>E163/3600000</f>
        <v>2.7777777777777776E-7</v>
      </c>
      <c r="E163" s="112">
        <v>1</v>
      </c>
      <c r="F163" s="108">
        <f>E163/3600</f>
        <v>2.7777777777777778E-4</v>
      </c>
      <c r="G163" s="109">
        <f>E163/1000*2.207505519</f>
        <v>2.2075055190000003E-3</v>
      </c>
      <c r="H163" s="109">
        <f>E163/1630800</f>
        <v>6.1319597743438807E-7</v>
      </c>
    </row>
    <row r="164" spans="2:12" x14ac:dyDescent="0.2">
      <c r="B164" s="110" t="s">
        <v>337</v>
      </c>
      <c r="C164" s="109">
        <f>F164/1000*3600</f>
        <v>3.6</v>
      </c>
      <c r="D164" s="109">
        <f>F164/1000</f>
        <v>1E-3</v>
      </c>
      <c r="E164" s="111">
        <f>F164*3600</f>
        <v>3600</v>
      </c>
      <c r="F164" s="112">
        <v>1</v>
      </c>
      <c r="G164" s="108">
        <f>F164/0.126</f>
        <v>7.9365079365079367</v>
      </c>
      <c r="H164" s="109">
        <f>F164/452.938347</f>
        <v>2.2078059996982324E-3</v>
      </c>
    </row>
    <row r="165" spans="2:12" x14ac:dyDescent="0.2">
      <c r="B165" s="110" t="s">
        <v>338</v>
      </c>
      <c r="C165" s="109">
        <f>G165*0.453</f>
        <v>0.45300000000000001</v>
      </c>
      <c r="D165" s="109">
        <f>G165*0.453*0.000277778</f>
        <v>1.25833434E-4</v>
      </c>
      <c r="E165" s="109">
        <f>G165/0.002207506</f>
        <v>452.99990124602152</v>
      </c>
      <c r="F165" s="111">
        <f>G165*0.126</f>
        <v>0.126</v>
      </c>
      <c r="G165" s="112">
        <v>1</v>
      </c>
      <c r="H165" s="108">
        <f>G165/3600</f>
        <v>2.7777777777777778E-4</v>
      </c>
    </row>
    <row r="166" spans="2:12" x14ac:dyDescent="0.2">
      <c r="B166" s="110" t="s">
        <v>339</v>
      </c>
      <c r="C166" s="109">
        <f>H166/0.00061324</f>
        <v>1630.6829300110885</v>
      </c>
      <c r="D166" s="109">
        <f>H166/2.20750552</f>
        <v>0.45299999974631994</v>
      </c>
      <c r="E166" s="109">
        <f>H166*3600*453</f>
        <v>1630800</v>
      </c>
      <c r="F166" s="109">
        <f>H166/0.002207806</f>
        <v>452.93834693809146</v>
      </c>
      <c r="G166" s="111">
        <f>H166*3600</f>
        <v>3600</v>
      </c>
      <c r="H166" s="112">
        <v>1</v>
      </c>
    </row>
    <row r="170" spans="2:12" x14ac:dyDescent="0.2">
      <c r="B170" s="104" t="s">
        <v>340</v>
      </c>
    </row>
    <row r="172" spans="2:12" x14ac:dyDescent="0.2">
      <c r="C172" s="105" t="s">
        <v>341</v>
      </c>
      <c r="D172" s="106" t="s">
        <v>342</v>
      </c>
      <c r="E172" s="106" t="s">
        <v>343</v>
      </c>
      <c r="F172" s="106" t="s">
        <v>344</v>
      </c>
      <c r="G172" s="106" t="s">
        <v>345</v>
      </c>
      <c r="H172" s="106" t="s">
        <v>346</v>
      </c>
      <c r="I172" s="106" t="s">
        <v>347</v>
      </c>
      <c r="J172" s="106" t="s">
        <v>348</v>
      </c>
      <c r="K172" s="106" t="s">
        <v>349</v>
      </c>
      <c r="L172" s="106" t="s">
        <v>350</v>
      </c>
    </row>
    <row r="173" spans="2:12" x14ac:dyDescent="0.2">
      <c r="B173" s="107" t="s">
        <v>341</v>
      </c>
      <c r="C173" s="112">
        <v>1</v>
      </c>
      <c r="D173" s="108">
        <f>C173*3600</f>
        <v>3600</v>
      </c>
      <c r="E173" s="109">
        <f>C173*7.4805</f>
        <v>7.4805000000000001</v>
      </c>
      <c r="F173" s="109">
        <f>C173*7.4805*3600</f>
        <v>26929.8</v>
      </c>
      <c r="G173" s="109">
        <f>C173*0.028316</f>
        <v>2.8316000000000001E-2</v>
      </c>
      <c r="H173" s="109">
        <f>C173*0.028316*3600</f>
        <v>101.9376</v>
      </c>
      <c r="I173" s="109">
        <f>C173*0.028316*1000000</f>
        <v>28316</v>
      </c>
      <c r="J173" s="109">
        <f>C173*28316*3600</f>
        <v>101937600</v>
      </c>
      <c r="K173" s="109">
        <f>C173*28.31</f>
        <v>28.31</v>
      </c>
      <c r="L173" s="109">
        <f>C173*28.31*3600</f>
        <v>101916</v>
      </c>
    </row>
    <row r="174" spans="2:12" x14ac:dyDescent="0.2">
      <c r="B174" s="110" t="s">
        <v>342</v>
      </c>
      <c r="C174" s="111">
        <f>D174/3600</f>
        <v>2.7777777777777778E-4</v>
      </c>
      <c r="D174" s="112">
        <v>1</v>
      </c>
      <c r="E174" s="108">
        <f>D174*7.4805/3600</f>
        <v>2.0779166666666667E-3</v>
      </c>
      <c r="F174" s="109">
        <f>D174*7.4805</f>
        <v>7.4805000000000001</v>
      </c>
      <c r="G174" s="109">
        <f>D174*0.028316/3600</f>
        <v>7.8655555555555557E-6</v>
      </c>
      <c r="H174" s="109">
        <f>D174*0.028316</f>
        <v>2.8316000000000001E-2</v>
      </c>
      <c r="I174" s="109">
        <f>D174*28316/3600</f>
        <v>7.8655555555555559</v>
      </c>
      <c r="J174" s="109">
        <f>D174*28316</f>
        <v>28316</v>
      </c>
      <c r="K174" s="109">
        <f>D174*28.31/3600</f>
        <v>7.863888888888889E-3</v>
      </c>
      <c r="L174" s="109">
        <f>D174*28.31</f>
        <v>28.31</v>
      </c>
    </row>
    <row r="175" spans="2:12" x14ac:dyDescent="0.2">
      <c r="B175" s="110" t="s">
        <v>343</v>
      </c>
      <c r="C175" s="109">
        <f>E175*0.1337</f>
        <v>0.13370000000000001</v>
      </c>
      <c r="D175" s="111">
        <f>E175*0.1337*3600</f>
        <v>481.32000000000005</v>
      </c>
      <c r="E175" s="112">
        <v>1</v>
      </c>
      <c r="F175" s="108">
        <f>E175*3600</f>
        <v>3600</v>
      </c>
      <c r="G175" s="109">
        <f>E175*0.003785</f>
        <v>3.7850000000000002E-3</v>
      </c>
      <c r="H175" s="109">
        <f>E175*0.003785*3600</f>
        <v>13.626000000000001</v>
      </c>
      <c r="I175" s="109">
        <f>E175*3785</f>
        <v>3785</v>
      </c>
      <c r="J175" s="109">
        <f>E175*3785*3600</f>
        <v>13626000</v>
      </c>
      <c r="K175" s="109">
        <f>E175*3785/1000</f>
        <v>3.7850000000000001</v>
      </c>
      <c r="L175" s="109">
        <f>E175*3.785*3600</f>
        <v>13626</v>
      </c>
    </row>
    <row r="176" spans="2:12" x14ac:dyDescent="0.2">
      <c r="B176" s="110" t="s">
        <v>344</v>
      </c>
      <c r="C176" s="109">
        <f>F176*0.1337/3600</f>
        <v>3.7138888888888896E-5</v>
      </c>
      <c r="D176" s="109">
        <f>F176*0.1337</f>
        <v>0.13370000000000001</v>
      </c>
      <c r="E176" s="111">
        <f>F176/3600</f>
        <v>2.7777777777777778E-4</v>
      </c>
      <c r="F176" s="112">
        <v>1</v>
      </c>
      <c r="G176" s="108">
        <f>F176*0.003785/3600</f>
        <v>1.051388888888889E-6</v>
      </c>
      <c r="H176" s="109">
        <f>F176*0.003785</f>
        <v>3.7850000000000002E-3</v>
      </c>
      <c r="I176" s="109">
        <f>F176*1.051</f>
        <v>1.0509999999999999</v>
      </c>
      <c r="J176" s="109">
        <f>F176*1.051*3600</f>
        <v>3783.6</v>
      </c>
      <c r="K176" s="109">
        <f>F176*0.001/3600</f>
        <v>2.7777777777777776E-7</v>
      </c>
      <c r="L176" s="109">
        <f>F176*0.001</f>
        <v>1E-3</v>
      </c>
    </row>
    <row r="177" spans="2:12" x14ac:dyDescent="0.2">
      <c r="B177" s="110" t="s">
        <v>345</v>
      </c>
      <c r="C177" s="109">
        <f>G177/0.028316</f>
        <v>35.315722559683572</v>
      </c>
      <c r="D177" s="109">
        <f>G177*35.31572256*3600</f>
        <v>127136.601216</v>
      </c>
      <c r="E177" s="109">
        <f>G177*264.17</f>
        <v>264.17</v>
      </c>
      <c r="F177" s="111">
        <f>G177*264.17*3600</f>
        <v>951012</v>
      </c>
      <c r="G177" s="112">
        <v>1</v>
      </c>
      <c r="H177" s="108">
        <f>G177*3600</f>
        <v>3600</v>
      </c>
      <c r="I177" s="109">
        <f>G177*1000000</f>
        <v>1000000</v>
      </c>
      <c r="J177" s="109">
        <f>G177*1000000*3600</f>
        <v>3600000000</v>
      </c>
      <c r="K177" s="109">
        <f>G177*1000</f>
        <v>1000</v>
      </c>
      <c r="L177" s="109">
        <f>G177*1000*3600</f>
        <v>3600000</v>
      </c>
    </row>
    <row r="178" spans="2:12" x14ac:dyDescent="0.2">
      <c r="B178" s="110" t="s">
        <v>346</v>
      </c>
      <c r="C178" s="109">
        <f>H178/11.9376</f>
        <v>8.3768931778581968E-2</v>
      </c>
      <c r="D178" s="109">
        <f>H178*35.314</f>
        <v>35.314</v>
      </c>
      <c r="E178" s="109">
        <f>H178*35.314/3600</f>
        <v>9.8094444444444453E-3</v>
      </c>
      <c r="F178" s="109">
        <f>H178*0.009809444*3600</f>
        <v>35.313998400000003</v>
      </c>
      <c r="G178" s="111">
        <f>H178/3600</f>
        <v>2.7777777777777778E-4</v>
      </c>
      <c r="H178" s="112">
        <v>1</v>
      </c>
      <c r="I178" s="108">
        <f>H178*1000000/3600</f>
        <v>277.77777777777777</v>
      </c>
      <c r="J178" s="109">
        <f>H178*277.7778*3600</f>
        <v>1000000.0800000001</v>
      </c>
      <c r="K178" s="109">
        <f>H178*1000/3600</f>
        <v>0.27777777777777779</v>
      </c>
      <c r="L178" s="109">
        <f>H178*1000</f>
        <v>1000</v>
      </c>
    </row>
    <row r="179" spans="2:12" x14ac:dyDescent="0.2">
      <c r="B179" s="110" t="s">
        <v>347</v>
      </c>
      <c r="C179" s="109">
        <f>I179*0.0000353</f>
        <v>3.5299999999999997E-5</v>
      </c>
      <c r="D179" s="109"/>
      <c r="E179" s="109">
        <f>I179*0.0002642</f>
        <v>2.6420000000000003E-4</v>
      </c>
      <c r="F179" s="109"/>
      <c r="G179" s="109">
        <f>I179*0.000001</f>
        <v>9.9999999999999995E-7</v>
      </c>
      <c r="H179" s="111">
        <f>I179*0.000001*3600</f>
        <v>3.5999999999999999E-3</v>
      </c>
      <c r="I179" s="112">
        <v>1</v>
      </c>
      <c r="J179" s="108">
        <f>I179*3600</f>
        <v>3600</v>
      </c>
      <c r="K179" s="109">
        <f>I179*0.001</f>
        <v>1E-3</v>
      </c>
      <c r="L179" s="109">
        <f>I179*0.001*3600</f>
        <v>3.6</v>
      </c>
    </row>
    <row r="180" spans="2:12" x14ac:dyDescent="0.2">
      <c r="B180" s="110" t="s">
        <v>348</v>
      </c>
      <c r="C180" s="109">
        <f>J180*0.0000353/3600</f>
        <v>9.8055555555555551E-9</v>
      </c>
      <c r="D180" s="109">
        <f>J180*0.0000353</f>
        <v>3.5299999999999997E-5</v>
      </c>
      <c r="E180" s="109">
        <f>J180*0.0002642/3600</f>
        <v>7.3388888888888895E-8</v>
      </c>
      <c r="F180" s="109">
        <f>J180*0.0002642</f>
        <v>2.6420000000000003E-4</v>
      </c>
      <c r="G180" s="109">
        <f>J180*0.000001/3600</f>
        <v>2.7777777777777777E-10</v>
      </c>
      <c r="H180" s="109">
        <f>J180*0.000001</f>
        <v>9.9999999999999995E-7</v>
      </c>
      <c r="I180" s="111">
        <f>J180/3600</f>
        <v>2.7777777777777778E-4</v>
      </c>
      <c r="J180" s="112">
        <v>1</v>
      </c>
      <c r="K180" s="108">
        <f>J180*0.001/3600</f>
        <v>2.7777777777777776E-7</v>
      </c>
      <c r="L180" s="109">
        <f>J180*0.001</f>
        <v>1E-3</v>
      </c>
    </row>
    <row r="181" spans="2:12" x14ac:dyDescent="0.2">
      <c r="B181" s="121" t="s">
        <v>349</v>
      </c>
      <c r="C181" s="109">
        <f>K181*0.0353</f>
        <v>3.5299999999999998E-2</v>
      </c>
      <c r="D181" s="109">
        <f>K181*0.0353*3600</f>
        <v>127.08</v>
      </c>
      <c r="E181" s="109">
        <f>K181*0.2642</f>
        <v>0.26419999999999999</v>
      </c>
      <c r="F181" s="109">
        <f>K181*0.2642*3600</f>
        <v>951.12</v>
      </c>
      <c r="G181" s="109">
        <f>K181*0.001</f>
        <v>1E-3</v>
      </c>
      <c r="H181" s="109">
        <f>K181*0.001*3600</f>
        <v>3.6</v>
      </c>
      <c r="I181" s="109">
        <f>K181*1000</f>
        <v>1000</v>
      </c>
      <c r="J181" s="111">
        <f>K181*1000*3600</f>
        <v>3600000</v>
      </c>
      <c r="K181" s="112">
        <v>1</v>
      </c>
      <c r="L181" s="108">
        <f>K181*3600</f>
        <v>3600</v>
      </c>
    </row>
    <row r="182" spans="2:12" x14ac:dyDescent="0.2">
      <c r="B182" s="121" t="s">
        <v>350</v>
      </c>
      <c r="C182" s="109">
        <f>L182*0.0353/3600</f>
        <v>9.8055555555555558E-6</v>
      </c>
      <c r="D182" s="109">
        <f>L182*0.0353</f>
        <v>3.5299999999999998E-2</v>
      </c>
      <c r="E182" s="109">
        <f>L182*0.2642/3600</f>
        <v>7.3388888888888882E-5</v>
      </c>
      <c r="F182" s="109">
        <f>L182*0.2642</f>
        <v>0.26419999999999999</v>
      </c>
      <c r="G182" s="109">
        <f>L182*0.001/3600</f>
        <v>2.7777777777777776E-7</v>
      </c>
      <c r="H182" s="109">
        <f>L182*0.001</f>
        <v>1E-3</v>
      </c>
      <c r="I182" s="109">
        <f>L182*1000/3600</f>
        <v>0.27777777777777779</v>
      </c>
      <c r="J182" s="109">
        <f>L182*1000</f>
        <v>1000</v>
      </c>
      <c r="K182" s="111">
        <f>L182/3600</f>
        <v>2.7777777777777778E-4</v>
      </c>
      <c r="L182" s="112">
        <v>1</v>
      </c>
    </row>
    <row r="185" spans="2:12" x14ac:dyDescent="0.2">
      <c r="B185" s="103"/>
      <c r="C185" s="103"/>
      <c r="E185" s="122"/>
    </row>
    <row r="187" spans="2:12" x14ac:dyDescent="0.2">
      <c r="B187" s="543"/>
      <c r="C187" s="543"/>
    </row>
    <row r="188" spans="2:12" x14ac:dyDescent="0.2">
      <c r="B188" s="102"/>
      <c r="D188" s="123"/>
    </row>
    <row r="190" spans="2:12" x14ac:dyDescent="0.2">
      <c r="C190" s="103"/>
    </row>
    <row r="191" spans="2:12" x14ac:dyDescent="0.2">
      <c r="C191" s="103"/>
    </row>
    <row r="193" spans="2:2" ht="15.75" x14ac:dyDescent="0.25">
      <c r="B193" s="124"/>
    </row>
    <row r="194" spans="2:2" x14ac:dyDescent="0.2">
      <c r="B194" s="125"/>
    </row>
  </sheetData>
  <mergeCells count="2">
    <mergeCell ref="B5:L5"/>
    <mergeCell ref="B187:C187"/>
  </mergeCells>
  <pageMargins left="0.75" right="0.75" top="1" bottom="1" header="0" footer="0"/>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0"/>
  <sheetViews>
    <sheetView view="pageBreakPreview" zoomScale="130" zoomScaleNormal="90" zoomScaleSheetLayoutView="130" workbookViewId="0">
      <selection activeCell="A20" sqref="A20:B20"/>
    </sheetView>
  </sheetViews>
  <sheetFormatPr baseColWidth="10" defaultColWidth="9.140625" defaultRowHeight="12.75" x14ac:dyDescent="0.2"/>
  <cols>
    <col min="1" max="1" width="29.28515625" style="126" customWidth="1"/>
    <col min="2" max="2" width="14" style="126" customWidth="1"/>
    <col min="3" max="5" width="6.85546875" style="133" customWidth="1"/>
    <col min="6" max="6" width="3.5703125" style="133" customWidth="1"/>
    <col min="7" max="10" width="3.5703125" style="126" customWidth="1"/>
    <col min="11" max="11" width="14.140625" style="126" bestFit="1" customWidth="1"/>
    <col min="12" max="16384" width="9.140625" style="126"/>
  </cols>
  <sheetData>
    <row r="1" spans="1:12" ht="33" customHeight="1" x14ac:dyDescent="0.2">
      <c r="A1" s="557" t="s">
        <v>842</v>
      </c>
      <c r="B1" s="557"/>
      <c r="C1" s="557"/>
      <c r="D1" s="557"/>
      <c r="E1" s="557"/>
      <c r="F1" s="557"/>
      <c r="G1" s="557"/>
      <c r="H1" s="557"/>
      <c r="I1" s="557"/>
      <c r="J1" s="557"/>
      <c r="K1" s="554"/>
      <c r="L1" s="554"/>
    </row>
    <row r="2" spans="1:12" x14ac:dyDescent="0.2">
      <c r="A2" s="127" t="s">
        <v>351</v>
      </c>
      <c r="B2" s="128" t="s">
        <v>352</v>
      </c>
      <c r="C2" s="554" t="s">
        <v>353</v>
      </c>
      <c r="D2" s="554"/>
      <c r="E2" s="554"/>
      <c r="F2" s="554"/>
      <c r="G2" s="554"/>
      <c r="H2" s="554"/>
      <c r="I2" s="554"/>
      <c r="J2" s="554"/>
      <c r="K2" s="554"/>
      <c r="L2" s="554"/>
    </row>
    <row r="3" spans="1:12" s="130" customFormat="1" x14ac:dyDescent="0.25">
      <c r="A3" s="558" t="s">
        <v>354</v>
      </c>
      <c r="B3" s="559"/>
      <c r="C3" s="547" t="s">
        <v>355</v>
      </c>
      <c r="D3" s="547"/>
      <c r="E3" s="547"/>
      <c r="F3" s="547"/>
      <c r="G3" s="547"/>
      <c r="H3" s="547" t="s">
        <v>356</v>
      </c>
      <c r="I3" s="547"/>
      <c r="J3" s="547"/>
      <c r="K3" s="129" t="s">
        <v>357</v>
      </c>
      <c r="L3" s="129" t="s">
        <v>358</v>
      </c>
    </row>
    <row r="4" spans="1:12" s="130" customFormat="1" ht="15" customHeight="1" x14ac:dyDescent="0.25">
      <c r="A4" s="560"/>
      <c r="B4" s="561"/>
      <c r="C4" s="562" t="s">
        <v>359</v>
      </c>
      <c r="D4" s="563"/>
      <c r="E4" s="563"/>
      <c r="F4" s="563"/>
      <c r="G4" s="564"/>
      <c r="H4" s="547"/>
      <c r="I4" s="547"/>
      <c r="J4" s="547"/>
      <c r="K4" s="129"/>
      <c r="L4" s="129"/>
    </row>
    <row r="5" spans="1:12" s="130" customFormat="1" x14ac:dyDescent="0.25">
      <c r="A5" s="562" t="s">
        <v>360</v>
      </c>
      <c r="B5" s="563"/>
      <c r="C5" s="565"/>
      <c r="D5" s="566"/>
      <c r="E5" s="566"/>
      <c r="F5" s="566"/>
      <c r="G5" s="567"/>
      <c r="H5" s="547"/>
      <c r="I5" s="547"/>
      <c r="J5" s="547"/>
      <c r="K5" s="129"/>
      <c r="L5" s="129"/>
    </row>
    <row r="6" spans="1:12" s="130" customFormat="1" x14ac:dyDescent="0.25">
      <c r="A6" s="568"/>
      <c r="B6" s="569"/>
      <c r="C6" s="565"/>
      <c r="D6" s="566"/>
      <c r="E6" s="566"/>
      <c r="F6" s="566"/>
      <c r="G6" s="567"/>
      <c r="H6" s="547"/>
      <c r="I6" s="547"/>
      <c r="J6" s="547"/>
      <c r="K6" s="129"/>
      <c r="L6" s="129"/>
    </row>
    <row r="7" spans="1:12" x14ac:dyDescent="0.2">
      <c r="A7" s="571" t="s">
        <v>361</v>
      </c>
      <c r="B7" s="572"/>
      <c r="C7" s="565"/>
      <c r="D7" s="566"/>
      <c r="E7" s="566"/>
      <c r="F7" s="566"/>
      <c r="G7" s="567"/>
      <c r="H7" s="547"/>
      <c r="I7" s="547"/>
      <c r="J7" s="547"/>
      <c r="K7" s="129"/>
      <c r="L7" s="129"/>
    </row>
    <row r="8" spans="1:12" x14ac:dyDescent="0.2">
      <c r="A8" s="573" t="s">
        <v>362</v>
      </c>
      <c r="B8" s="576" t="s">
        <v>363</v>
      </c>
      <c r="C8" s="568"/>
      <c r="D8" s="569"/>
      <c r="E8" s="569"/>
      <c r="F8" s="569"/>
      <c r="G8" s="570"/>
      <c r="H8" s="547"/>
      <c r="I8" s="547"/>
      <c r="J8" s="547"/>
      <c r="K8" s="129"/>
      <c r="L8" s="129"/>
    </row>
    <row r="9" spans="1:12" x14ac:dyDescent="0.2">
      <c r="A9" s="574"/>
      <c r="B9" s="577"/>
      <c r="C9" s="556" t="s">
        <v>364</v>
      </c>
      <c r="D9" s="556"/>
      <c r="E9" s="556"/>
      <c r="F9" s="556"/>
      <c r="G9" s="556"/>
      <c r="H9" s="554"/>
      <c r="I9" s="554"/>
      <c r="J9" s="554"/>
      <c r="K9" s="131"/>
      <c r="L9" s="131"/>
    </row>
    <row r="10" spans="1:12" x14ac:dyDescent="0.2">
      <c r="A10" s="575"/>
      <c r="B10" s="578"/>
      <c r="C10" s="555" t="s">
        <v>365</v>
      </c>
      <c r="D10" s="555"/>
      <c r="E10" s="555"/>
      <c r="F10" s="555"/>
      <c r="G10" s="555"/>
      <c r="H10" s="554"/>
      <c r="I10" s="554"/>
      <c r="J10" s="554"/>
      <c r="K10" s="131"/>
      <c r="L10" s="131"/>
    </row>
    <row r="11" spans="1:12" ht="45" customHeight="1" x14ac:dyDescent="0.2">
      <c r="A11" s="549" t="s">
        <v>366</v>
      </c>
      <c r="B11" s="551" t="s">
        <v>367</v>
      </c>
      <c r="C11" s="553" t="s">
        <v>368</v>
      </c>
      <c r="D11" s="553"/>
      <c r="E11" s="553"/>
      <c r="F11" s="553"/>
      <c r="G11" s="553"/>
      <c r="H11" s="554"/>
      <c r="I11" s="554"/>
      <c r="J11" s="554"/>
      <c r="K11" s="131"/>
      <c r="L11" s="131"/>
    </row>
    <row r="12" spans="1:12" x14ac:dyDescent="0.2">
      <c r="A12" s="550"/>
      <c r="B12" s="552"/>
      <c r="C12" s="555" t="s">
        <v>369</v>
      </c>
      <c r="D12" s="555"/>
      <c r="E12" s="555"/>
      <c r="F12" s="555"/>
      <c r="G12" s="555"/>
      <c r="H12" s="554"/>
      <c r="I12" s="554"/>
      <c r="J12" s="554"/>
      <c r="K12" s="131"/>
      <c r="L12" s="131"/>
    </row>
    <row r="13" spans="1:12" x14ac:dyDescent="0.2">
      <c r="A13" s="547" t="s">
        <v>370</v>
      </c>
      <c r="B13" s="547"/>
      <c r="C13" s="548" t="s">
        <v>371</v>
      </c>
      <c r="D13" s="548" t="s">
        <v>372</v>
      </c>
      <c r="E13" s="548" t="s">
        <v>373</v>
      </c>
      <c r="F13" s="554" t="s">
        <v>374</v>
      </c>
      <c r="G13" s="554"/>
      <c r="H13" s="554"/>
      <c r="I13" s="554"/>
      <c r="J13" s="554"/>
      <c r="K13" s="547" t="s">
        <v>375</v>
      </c>
      <c r="L13" s="547"/>
    </row>
    <row r="14" spans="1:12" x14ac:dyDescent="0.2">
      <c r="A14" s="547"/>
      <c r="B14" s="547"/>
      <c r="C14" s="548"/>
      <c r="D14" s="548"/>
      <c r="E14" s="548"/>
      <c r="F14" s="132"/>
      <c r="G14" s="131"/>
      <c r="H14" s="131"/>
      <c r="I14" s="131"/>
      <c r="J14" s="131"/>
      <c r="K14" s="547"/>
      <c r="L14" s="547"/>
    </row>
    <row r="15" spans="1:12" x14ac:dyDescent="0.2">
      <c r="A15" s="544"/>
      <c r="B15" s="545"/>
      <c r="C15" s="132"/>
      <c r="D15" s="132"/>
      <c r="E15" s="132"/>
      <c r="F15" s="132"/>
      <c r="G15" s="131"/>
      <c r="H15" s="131"/>
      <c r="I15" s="131"/>
      <c r="J15" s="131"/>
      <c r="K15" s="131"/>
      <c r="L15" s="131"/>
    </row>
    <row r="16" spans="1:12" x14ac:dyDescent="0.2">
      <c r="A16" s="544"/>
      <c r="B16" s="545"/>
      <c r="C16" s="132"/>
      <c r="D16" s="132"/>
      <c r="E16" s="132"/>
      <c r="F16" s="132"/>
      <c r="G16" s="131"/>
      <c r="H16" s="131"/>
      <c r="I16" s="131"/>
      <c r="J16" s="131"/>
      <c r="K16" s="131"/>
      <c r="L16" s="131"/>
    </row>
    <row r="17" spans="1:12" x14ac:dyDescent="0.2">
      <c r="A17" s="544"/>
      <c r="B17" s="545"/>
      <c r="C17" s="132"/>
      <c r="D17" s="132"/>
      <c r="E17" s="132"/>
      <c r="F17" s="132"/>
      <c r="G17" s="131"/>
      <c r="H17" s="131"/>
      <c r="I17" s="131"/>
      <c r="J17" s="131"/>
      <c r="K17" s="131"/>
      <c r="L17" s="131"/>
    </row>
    <row r="18" spans="1:12" x14ac:dyDescent="0.2">
      <c r="A18" s="544"/>
      <c r="B18" s="545"/>
      <c r="C18" s="132"/>
      <c r="D18" s="132"/>
      <c r="E18" s="132"/>
      <c r="F18" s="132"/>
      <c r="G18" s="131"/>
      <c r="H18" s="131"/>
      <c r="I18" s="131"/>
      <c r="J18" s="131"/>
      <c r="K18" s="131"/>
      <c r="L18" s="131"/>
    </row>
    <row r="19" spans="1:12" x14ac:dyDescent="0.2">
      <c r="A19" s="544"/>
      <c r="B19" s="545"/>
      <c r="C19" s="132"/>
      <c r="D19" s="132"/>
      <c r="E19" s="132"/>
      <c r="F19" s="132"/>
      <c r="G19" s="131"/>
      <c r="H19" s="131"/>
      <c r="I19" s="131"/>
      <c r="J19" s="131"/>
      <c r="K19" s="131"/>
      <c r="L19" s="131"/>
    </row>
    <row r="20" spans="1:12" x14ac:dyDescent="0.2">
      <c r="A20" s="544"/>
      <c r="B20" s="545"/>
      <c r="C20" s="132"/>
      <c r="D20" s="132"/>
      <c r="E20" s="132"/>
      <c r="F20" s="132"/>
      <c r="G20" s="131"/>
      <c r="H20" s="131"/>
      <c r="I20" s="131"/>
      <c r="J20" s="131"/>
      <c r="K20" s="131"/>
      <c r="L20" s="131"/>
    </row>
    <row r="21" spans="1:12" x14ac:dyDescent="0.2">
      <c r="A21" s="544"/>
      <c r="B21" s="545"/>
      <c r="C21" s="132"/>
      <c r="D21" s="132"/>
      <c r="E21" s="132"/>
      <c r="F21" s="132"/>
      <c r="G21" s="131"/>
      <c r="H21" s="131"/>
      <c r="I21" s="131"/>
      <c r="J21" s="131"/>
      <c r="K21" s="131"/>
      <c r="L21" s="131"/>
    </row>
    <row r="22" spans="1:12" x14ac:dyDescent="0.2">
      <c r="A22" s="544"/>
      <c r="B22" s="545"/>
      <c r="C22" s="132"/>
      <c r="D22" s="132"/>
      <c r="E22" s="132"/>
      <c r="F22" s="132"/>
      <c r="G22" s="131"/>
      <c r="H22" s="131"/>
      <c r="I22" s="131"/>
      <c r="J22" s="131"/>
      <c r="K22" s="131"/>
      <c r="L22" s="131"/>
    </row>
    <row r="23" spans="1:12" x14ac:dyDescent="0.2">
      <c r="A23" s="544"/>
      <c r="B23" s="545"/>
      <c r="C23" s="132"/>
      <c r="D23" s="132"/>
      <c r="E23" s="132"/>
      <c r="F23" s="132"/>
      <c r="G23" s="131"/>
      <c r="H23" s="131"/>
      <c r="I23" s="131"/>
      <c r="J23" s="131"/>
      <c r="K23" s="131"/>
      <c r="L23" s="131"/>
    </row>
    <row r="24" spans="1:12" x14ac:dyDescent="0.2">
      <c r="A24" s="544"/>
      <c r="B24" s="545"/>
      <c r="C24" s="132"/>
      <c r="D24" s="132"/>
      <c r="E24" s="132"/>
      <c r="F24" s="132"/>
      <c r="G24" s="131"/>
      <c r="H24" s="131"/>
      <c r="I24" s="131"/>
      <c r="J24" s="131"/>
      <c r="K24" s="131"/>
      <c r="L24" s="131"/>
    </row>
    <row r="25" spans="1:12" x14ac:dyDescent="0.2">
      <c r="A25" s="544"/>
      <c r="B25" s="545"/>
      <c r="C25" s="132"/>
      <c r="D25" s="132"/>
      <c r="E25" s="132"/>
      <c r="F25" s="132"/>
      <c r="G25" s="131"/>
      <c r="H25" s="131"/>
      <c r="I25" s="131"/>
      <c r="J25" s="131"/>
      <c r="K25" s="131"/>
      <c r="L25" s="131"/>
    </row>
    <row r="26" spans="1:12" x14ac:dyDescent="0.2">
      <c r="A26" s="544"/>
      <c r="B26" s="545"/>
      <c r="C26" s="132"/>
      <c r="D26" s="132"/>
      <c r="E26" s="132"/>
      <c r="F26" s="132"/>
      <c r="G26" s="131"/>
      <c r="H26" s="131"/>
      <c r="I26" s="131"/>
      <c r="J26" s="131"/>
      <c r="K26" s="131"/>
      <c r="L26" s="131"/>
    </row>
    <row r="27" spans="1:12" x14ac:dyDescent="0.2">
      <c r="A27" s="544"/>
      <c r="B27" s="545"/>
      <c r="C27" s="132"/>
      <c r="D27" s="132"/>
      <c r="E27" s="132"/>
      <c r="F27" s="132"/>
      <c r="G27" s="131"/>
      <c r="H27" s="131"/>
      <c r="I27" s="131"/>
      <c r="J27" s="131"/>
      <c r="K27" s="131"/>
      <c r="L27" s="131"/>
    </row>
    <row r="28" spans="1:12" x14ac:dyDescent="0.2">
      <c r="A28" s="544"/>
      <c r="B28" s="545"/>
      <c r="C28" s="132"/>
      <c r="D28" s="132"/>
      <c r="E28" s="132"/>
      <c r="F28" s="132"/>
      <c r="G28" s="131"/>
      <c r="H28" s="131"/>
      <c r="I28" s="131"/>
      <c r="J28" s="131"/>
      <c r="K28" s="131"/>
      <c r="L28" s="131"/>
    </row>
    <row r="29" spans="1:12" x14ac:dyDescent="0.2">
      <c r="A29" s="544"/>
      <c r="B29" s="545"/>
      <c r="C29" s="132"/>
      <c r="D29" s="132"/>
      <c r="E29" s="132"/>
      <c r="F29" s="132"/>
      <c r="G29" s="131"/>
      <c r="H29" s="131"/>
      <c r="I29" s="131"/>
      <c r="J29" s="131"/>
      <c r="K29" s="131"/>
      <c r="L29" s="131"/>
    </row>
    <row r="30" spans="1:12" x14ac:dyDescent="0.2">
      <c r="A30" s="544"/>
      <c r="B30" s="545"/>
      <c r="C30" s="132"/>
      <c r="D30" s="132"/>
      <c r="E30" s="132"/>
      <c r="F30" s="132"/>
      <c r="G30" s="131"/>
      <c r="H30" s="131"/>
      <c r="I30" s="131"/>
      <c r="J30" s="131"/>
      <c r="K30" s="131"/>
      <c r="L30" s="131"/>
    </row>
    <row r="31" spans="1:12" x14ac:dyDescent="0.2">
      <c r="A31" s="544"/>
      <c r="B31" s="545"/>
      <c r="C31" s="132"/>
      <c r="D31" s="132"/>
      <c r="E31" s="132"/>
      <c r="F31" s="132"/>
      <c r="G31" s="131"/>
      <c r="H31" s="131"/>
      <c r="I31" s="131"/>
      <c r="J31" s="131"/>
      <c r="K31" s="131"/>
      <c r="L31" s="131"/>
    </row>
    <row r="32" spans="1:12" x14ac:dyDescent="0.2">
      <c r="A32" s="544"/>
      <c r="B32" s="545"/>
      <c r="C32" s="132"/>
      <c r="D32" s="132"/>
      <c r="E32" s="132"/>
      <c r="F32" s="132"/>
      <c r="G32" s="131"/>
      <c r="H32" s="131"/>
      <c r="I32" s="131"/>
      <c r="J32" s="131"/>
      <c r="K32" s="131"/>
      <c r="L32" s="131"/>
    </row>
    <row r="33" spans="1:12" x14ac:dyDescent="0.2">
      <c r="A33" s="544"/>
      <c r="B33" s="545"/>
      <c r="C33" s="132"/>
      <c r="D33" s="132"/>
      <c r="E33" s="132"/>
      <c r="F33" s="132"/>
      <c r="G33" s="131"/>
      <c r="H33" s="131"/>
      <c r="I33" s="131"/>
      <c r="J33" s="131"/>
      <c r="K33" s="131"/>
      <c r="L33" s="131"/>
    </row>
    <row r="34" spans="1:12" x14ac:dyDescent="0.2">
      <c r="A34" s="544"/>
      <c r="B34" s="545"/>
      <c r="C34" s="132"/>
      <c r="D34" s="132"/>
      <c r="E34" s="132"/>
      <c r="F34" s="132"/>
      <c r="G34" s="131"/>
      <c r="H34" s="131"/>
      <c r="I34" s="131"/>
      <c r="J34" s="131"/>
      <c r="K34" s="131"/>
      <c r="L34" s="131"/>
    </row>
    <row r="35" spans="1:12" x14ac:dyDescent="0.2">
      <c r="A35" s="544"/>
      <c r="B35" s="545"/>
      <c r="C35" s="132"/>
      <c r="D35" s="132"/>
      <c r="E35" s="132"/>
      <c r="F35" s="132"/>
      <c r="G35" s="131"/>
      <c r="H35" s="131"/>
      <c r="I35" s="131"/>
      <c r="J35" s="131"/>
      <c r="K35" s="131"/>
      <c r="L35" s="131"/>
    </row>
    <row r="36" spans="1:12" x14ac:dyDescent="0.2">
      <c r="A36" s="544"/>
      <c r="B36" s="545"/>
      <c r="C36" s="132"/>
      <c r="D36" s="132"/>
      <c r="E36" s="132"/>
      <c r="F36" s="132"/>
      <c r="G36" s="131"/>
      <c r="H36" s="131"/>
      <c r="I36" s="131"/>
      <c r="J36" s="131"/>
      <c r="K36" s="131"/>
      <c r="L36" s="131"/>
    </row>
    <row r="37" spans="1:12" x14ac:dyDescent="0.2">
      <c r="A37" s="544"/>
      <c r="B37" s="545"/>
      <c r="C37" s="132"/>
      <c r="D37" s="132"/>
      <c r="E37" s="132"/>
      <c r="F37" s="132"/>
      <c r="G37" s="131"/>
      <c r="H37" s="131"/>
      <c r="I37" s="131"/>
      <c r="J37" s="131"/>
      <c r="K37" s="131"/>
      <c r="L37" s="131"/>
    </row>
    <row r="38" spans="1:12" x14ac:dyDescent="0.2">
      <c r="A38" s="544"/>
      <c r="B38" s="545"/>
      <c r="C38" s="132"/>
      <c r="D38" s="132"/>
      <c r="E38" s="132"/>
      <c r="F38" s="132"/>
      <c r="G38" s="131"/>
      <c r="H38" s="131"/>
      <c r="I38" s="131"/>
      <c r="J38" s="131"/>
      <c r="K38" s="131"/>
      <c r="L38" s="131"/>
    </row>
    <row r="39" spans="1:12" x14ac:dyDescent="0.2">
      <c r="A39" s="544"/>
      <c r="B39" s="545"/>
      <c r="C39" s="132"/>
      <c r="D39" s="132"/>
      <c r="E39" s="132"/>
      <c r="F39" s="132"/>
      <c r="G39" s="131"/>
      <c r="H39" s="131"/>
      <c r="I39" s="131"/>
      <c r="J39" s="131"/>
      <c r="K39" s="131"/>
      <c r="L39" s="131"/>
    </row>
    <row r="40" spans="1:12" x14ac:dyDescent="0.2">
      <c r="A40" s="546" t="s">
        <v>369</v>
      </c>
      <c r="B40" s="546"/>
      <c r="C40" s="132"/>
      <c r="D40" s="132"/>
      <c r="E40" s="132"/>
      <c r="F40" s="132"/>
      <c r="G40" s="131"/>
      <c r="H40" s="131"/>
      <c r="I40" s="131"/>
      <c r="J40" s="131"/>
      <c r="K40" s="131"/>
      <c r="L40" s="131"/>
    </row>
  </sheetData>
  <mergeCells count="58">
    <mergeCell ref="A1:J1"/>
    <mergeCell ref="K1:L1"/>
    <mergeCell ref="C2:L2"/>
    <mergeCell ref="A3:B4"/>
    <mergeCell ref="C3:G3"/>
    <mergeCell ref="H3:J3"/>
    <mergeCell ref="C4:G8"/>
    <mergeCell ref="H4:J4"/>
    <mergeCell ref="A5:B6"/>
    <mergeCell ref="H5:J5"/>
    <mergeCell ref="H6:J6"/>
    <mergeCell ref="A7:B7"/>
    <mergeCell ref="H7:J7"/>
    <mergeCell ref="A8:A10"/>
    <mergeCell ref="B8:B10"/>
    <mergeCell ref="H8:J8"/>
    <mergeCell ref="C9:G9"/>
    <mergeCell ref="H9:J9"/>
    <mergeCell ref="C10:G10"/>
    <mergeCell ref="H10:J10"/>
    <mergeCell ref="F13:J13"/>
    <mergeCell ref="K13:L14"/>
    <mergeCell ref="A11:A12"/>
    <mergeCell ref="B11:B12"/>
    <mergeCell ref="C11:G11"/>
    <mergeCell ref="H11:J11"/>
    <mergeCell ref="C12:G12"/>
    <mergeCell ref="H12:J12"/>
    <mergeCell ref="A20:B20"/>
    <mergeCell ref="A13:B14"/>
    <mergeCell ref="C13:C14"/>
    <mergeCell ref="D13:D14"/>
    <mergeCell ref="E13:E14"/>
    <mergeCell ref="A15:B15"/>
    <mergeCell ref="A16:B16"/>
    <mergeCell ref="A17:B17"/>
    <mergeCell ref="A18:B18"/>
    <mergeCell ref="A19:B19"/>
    <mergeCell ref="A32:B32"/>
    <mergeCell ref="A21:B21"/>
    <mergeCell ref="A22:B22"/>
    <mergeCell ref="A23:B23"/>
    <mergeCell ref="A24:B24"/>
    <mergeCell ref="A25:B25"/>
    <mergeCell ref="A26:B26"/>
    <mergeCell ref="A27:B27"/>
    <mergeCell ref="A28:B28"/>
    <mergeCell ref="A29:B29"/>
    <mergeCell ref="A30:B30"/>
    <mergeCell ref="A31:B31"/>
    <mergeCell ref="A39:B39"/>
    <mergeCell ref="A40:B40"/>
    <mergeCell ref="A33:B33"/>
    <mergeCell ref="A34:B34"/>
    <mergeCell ref="A35:B35"/>
    <mergeCell ref="A36:B36"/>
    <mergeCell ref="A37:B37"/>
    <mergeCell ref="A38:B38"/>
  </mergeCells>
  <pageMargins left="0.7" right="0.7" top="0.75" bottom="0.75" header="0.3" footer="0.3"/>
  <pageSetup paperSize="9" scale="8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P77"/>
  <sheetViews>
    <sheetView workbookViewId="0">
      <selection activeCell="M31" sqref="M31:P31"/>
    </sheetView>
  </sheetViews>
  <sheetFormatPr baseColWidth="10" defaultColWidth="10.7109375" defaultRowHeight="12.75" x14ac:dyDescent="0.2"/>
  <cols>
    <col min="1" max="4" width="11.42578125" style="134"/>
    <col min="5" max="5" width="4.42578125" style="134" customWidth="1"/>
    <col min="6" max="6" width="4.140625" style="134" customWidth="1"/>
    <col min="7" max="8" width="4" style="134" customWidth="1"/>
    <col min="9" max="10" width="4.140625" style="134" customWidth="1"/>
    <col min="11" max="11" width="4.5703125" style="134" customWidth="1"/>
    <col min="12" max="12" width="4" style="134" customWidth="1"/>
    <col min="13" max="13" width="11.42578125" style="134" customWidth="1"/>
    <col min="14" max="260" width="11.42578125" style="134"/>
    <col min="261" max="261" width="4.42578125" style="134" customWidth="1"/>
    <col min="262" max="262" width="4.140625" style="134" customWidth="1"/>
    <col min="263" max="264" width="4" style="134" customWidth="1"/>
    <col min="265" max="266" width="4.140625" style="134" customWidth="1"/>
    <col min="267" max="267" width="4.5703125" style="134" customWidth="1"/>
    <col min="268" max="268" width="4" style="134" customWidth="1"/>
    <col min="269" max="269" width="11.42578125" style="134" customWidth="1"/>
    <col min="270" max="516" width="11.42578125" style="134"/>
    <col min="517" max="517" width="4.42578125" style="134" customWidth="1"/>
    <col min="518" max="518" width="4.140625" style="134" customWidth="1"/>
    <col min="519" max="520" width="4" style="134" customWidth="1"/>
    <col min="521" max="522" width="4.140625" style="134" customWidth="1"/>
    <col min="523" max="523" width="4.5703125" style="134" customWidth="1"/>
    <col min="524" max="524" width="4" style="134" customWidth="1"/>
    <col min="525" max="525" width="11.42578125" style="134" customWidth="1"/>
    <col min="526" max="772" width="11.42578125" style="134"/>
    <col min="773" max="773" width="4.42578125" style="134" customWidth="1"/>
    <col min="774" max="774" width="4.140625" style="134" customWidth="1"/>
    <col min="775" max="776" width="4" style="134" customWidth="1"/>
    <col min="777" max="778" width="4.140625" style="134" customWidth="1"/>
    <col min="779" max="779" width="4.5703125" style="134" customWidth="1"/>
    <col min="780" max="780" width="4" style="134" customWidth="1"/>
    <col min="781" max="781" width="11.42578125" style="134" customWidth="1"/>
    <col min="782" max="1028" width="11.42578125" style="134"/>
    <col min="1029" max="1029" width="4.42578125" style="134" customWidth="1"/>
    <col min="1030" max="1030" width="4.140625" style="134" customWidth="1"/>
    <col min="1031" max="1032" width="4" style="134" customWidth="1"/>
    <col min="1033" max="1034" width="4.140625" style="134" customWidth="1"/>
    <col min="1035" max="1035" width="4.5703125" style="134" customWidth="1"/>
    <col min="1036" max="1036" width="4" style="134" customWidth="1"/>
    <col min="1037" max="1037" width="11.42578125" style="134" customWidth="1"/>
    <col min="1038" max="1284" width="11.42578125" style="134"/>
    <col min="1285" max="1285" width="4.42578125" style="134" customWidth="1"/>
    <col min="1286" max="1286" width="4.140625" style="134" customWidth="1"/>
    <col min="1287" max="1288" width="4" style="134" customWidth="1"/>
    <col min="1289" max="1290" width="4.140625" style="134" customWidth="1"/>
    <col min="1291" max="1291" width="4.5703125" style="134" customWidth="1"/>
    <col min="1292" max="1292" width="4" style="134" customWidth="1"/>
    <col min="1293" max="1293" width="11.42578125" style="134" customWidth="1"/>
    <col min="1294" max="1540" width="11.42578125" style="134"/>
    <col min="1541" max="1541" width="4.42578125" style="134" customWidth="1"/>
    <col min="1542" max="1542" width="4.140625" style="134" customWidth="1"/>
    <col min="1543" max="1544" width="4" style="134" customWidth="1"/>
    <col min="1545" max="1546" width="4.140625" style="134" customWidth="1"/>
    <col min="1547" max="1547" width="4.5703125" style="134" customWidth="1"/>
    <col min="1548" max="1548" width="4" style="134" customWidth="1"/>
    <col min="1549" max="1549" width="11.42578125" style="134" customWidth="1"/>
    <col min="1550" max="1796" width="11.42578125" style="134"/>
    <col min="1797" max="1797" width="4.42578125" style="134" customWidth="1"/>
    <col min="1798" max="1798" width="4.140625" style="134" customWidth="1"/>
    <col min="1799" max="1800" width="4" style="134" customWidth="1"/>
    <col min="1801" max="1802" width="4.140625" style="134" customWidth="1"/>
    <col min="1803" max="1803" width="4.5703125" style="134" customWidth="1"/>
    <col min="1804" max="1804" width="4" style="134" customWidth="1"/>
    <col min="1805" max="1805" width="11.42578125" style="134" customWidth="1"/>
    <col min="1806" max="2052" width="11.42578125" style="134"/>
    <col min="2053" max="2053" width="4.42578125" style="134" customWidth="1"/>
    <col min="2054" max="2054" width="4.140625" style="134" customWidth="1"/>
    <col min="2055" max="2056" width="4" style="134" customWidth="1"/>
    <col min="2057" max="2058" width="4.140625" style="134" customWidth="1"/>
    <col min="2059" max="2059" width="4.5703125" style="134" customWidth="1"/>
    <col min="2060" max="2060" width="4" style="134" customWidth="1"/>
    <col min="2061" max="2061" width="11.42578125" style="134" customWidth="1"/>
    <col min="2062" max="2308" width="11.42578125" style="134"/>
    <col min="2309" max="2309" width="4.42578125" style="134" customWidth="1"/>
    <col min="2310" max="2310" width="4.140625" style="134" customWidth="1"/>
    <col min="2311" max="2312" width="4" style="134" customWidth="1"/>
    <col min="2313" max="2314" width="4.140625" style="134" customWidth="1"/>
    <col min="2315" max="2315" width="4.5703125" style="134" customWidth="1"/>
    <col min="2316" max="2316" width="4" style="134" customWidth="1"/>
    <col min="2317" max="2317" width="11.42578125" style="134" customWidth="1"/>
    <col min="2318" max="2564" width="11.42578125" style="134"/>
    <col min="2565" max="2565" width="4.42578125" style="134" customWidth="1"/>
    <col min="2566" max="2566" width="4.140625" style="134" customWidth="1"/>
    <col min="2567" max="2568" width="4" style="134" customWidth="1"/>
    <col min="2569" max="2570" width="4.140625" style="134" customWidth="1"/>
    <col min="2571" max="2571" width="4.5703125" style="134" customWidth="1"/>
    <col min="2572" max="2572" width="4" style="134" customWidth="1"/>
    <col min="2573" max="2573" width="11.42578125" style="134" customWidth="1"/>
    <col min="2574" max="2820" width="11.42578125" style="134"/>
    <col min="2821" max="2821" width="4.42578125" style="134" customWidth="1"/>
    <col min="2822" max="2822" width="4.140625" style="134" customWidth="1"/>
    <col min="2823" max="2824" width="4" style="134" customWidth="1"/>
    <col min="2825" max="2826" width="4.140625" style="134" customWidth="1"/>
    <col min="2827" max="2827" width="4.5703125" style="134" customWidth="1"/>
    <col min="2828" max="2828" width="4" style="134" customWidth="1"/>
    <col min="2829" max="2829" width="11.42578125" style="134" customWidth="1"/>
    <col min="2830" max="3076" width="11.42578125" style="134"/>
    <col min="3077" max="3077" width="4.42578125" style="134" customWidth="1"/>
    <col min="3078" max="3078" width="4.140625" style="134" customWidth="1"/>
    <col min="3079" max="3080" width="4" style="134" customWidth="1"/>
    <col min="3081" max="3082" width="4.140625" style="134" customWidth="1"/>
    <col min="3083" max="3083" width="4.5703125" style="134" customWidth="1"/>
    <col min="3084" max="3084" width="4" style="134" customWidth="1"/>
    <col min="3085" max="3085" width="11.42578125" style="134" customWidth="1"/>
    <col min="3086" max="3332" width="11.42578125" style="134"/>
    <col min="3333" max="3333" width="4.42578125" style="134" customWidth="1"/>
    <col min="3334" max="3334" width="4.140625" style="134" customWidth="1"/>
    <col min="3335" max="3336" width="4" style="134" customWidth="1"/>
    <col min="3337" max="3338" width="4.140625" style="134" customWidth="1"/>
    <col min="3339" max="3339" width="4.5703125" style="134" customWidth="1"/>
    <col min="3340" max="3340" width="4" style="134" customWidth="1"/>
    <col min="3341" max="3341" width="11.42578125" style="134" customWidth="1"/>
    <col min="3342" max="3588" width="11.42578125" style="134"/>
    <col min="3589" max="3589" width="4.42578125" style="134" customWidth="1"/>
    <col min="3590" max="3590" width="4.140625" style="134" customWidth="1"/>
    <col min="3591" max="3592" width="4" style="134" customWidth="1"/>
    <col min="3593" max="3594" width="4.140625" style="134" customWidth="1"/>
    <col min="3595" max="3595" width="4.5703125" style="134" customWidth="1"/>
    <col min="3596" max="3596" width="4" style="134" customWidth="1"/>
    <col min="3597" max="3597" width="11.42578125" style="134" customWidth="1"/>
    <col min="3598" max="3844" width="11.42578125" style="134"/>
    <col min="3845" max="3845" width="4.42578125" style="134" customWidth="1"/>
    <col min="3846" max="3846" width="4.140625" style="134" customWidth="1"/>
    <col min="3847" max="3848" width="4" style="134" customWidth="1"/>
    <col min="3849" max="3850" width="4.140625" style="134" customWidth="1"/>
    <col min="3851" max="3851" width="4.5703125" style="134" customWidth="1"/>
    <col min="3852" max="3852" width="4" style="134" customWidth="1"/>
    <col min="3853" max="3853" width="11.42578125" style="134" customWidth="1"/>
    <col min="3854" max="4100" width="11.42578125" style="134"/>
    <col min="4101" max="4101" width="4.42578125" style="134" customWidth="1"/>
    <col min="4102" max="4102" width="4.140625" style="134" customWidth="1"/>
    <col min="4103" max="4104" width="4" style="134" customWidth="1"/>
    <col min="4105" max="4106" width="4.140625" style="134" customWidth="1"/>
    <col min="4107" max="4107" width="4.5703125" style="134" customWidth="1"/>
    <col min="4108" max="4108" width="4" style="134" customWidth="1"/>
    <col min="4109" max="4109" width="11.42578125" style="134" customWidth="1"/>
    <col min="4110" max="4356" width="11.42578125" style="134"/>
    <col min="4357" max="4357" width="4.42578125" style="134" customWidth="1"/>
    <col min="4358" max="4358" width="4.140625" style="134" customWidth="1"/>
    <col min="4359" max="4360" width="4" style="134" customWidth="1"/>
    <col min="4361" max="4362" width="4.140625" style="134" customWidth="1"/>
    <col min="4363" max="4363" width="4.5703125" style="134" customWidth="1"/>
    <col min="4364" max="4364" width="4" style="134" customWidth="1"/>
    <col min="4365" max="4365" width="11.42578125" style="134" customWidth="1"/>
    <col min="4366" max="4612" width="11.42578125" style="134"/>
    <col min="4613" max="4613" width="4.42578125" style="134" customWidth="1"/>
    <col min="4614" max="4614" width="4.140625" style="134" customWidth="1"/>
    <col min="4615" max="4616" width="4" style="134" customWidth="1"/>
    <col min="4617" max="4618" width="4.140625" style="134" customWidth="1"/>
    <col min="4619" max="4619" width="4.5703125" style="134" customWidth="1"/>
    <col min="4620" max="4620" width="4" style="134" customWidth="1"/>
    <col min="4621" max="4621" width="11.42578125" style="134" customWidth="1"/>
    <col min="4622" max="4868" width="11.42578125" style="134"/>
    <col min="4869" max="4869" width="4.42578125" style="134" customWidth="1"/>
    <col min="4870" max="4870" width="4.140625" style="134" customWidth="1"/>
    <col min="4871" max="4872" width="4" style="134" customWidth="1"/>
    <col min="4873" max="4874" width="4.140625" style="134" customWidth="1"/>
    <col min="4875" max="4875" width="4.5703125" style="134" customWidth="1"/>
    <col min="4876" max="4876" width="4" style="134" customWidth="1"/>
    <col min="4877" max="4877" width="11.42578125" style="134" customWidth="1"/>
    <col min="4878" max="5124" width="11.42578125" style="134"/>
    <col min="5125" max="5125" width="4.42578125" style="134" customWidth="1"/>
    <col min="5126" max="5126" width="4.140625" style="134" customWidth="1"/>
    <col min="5127" max="5128" width="4" style="134" customWidth="1"/>
    <col min="5129" max="5130" width="4.140625" style="134" customWidth="1"/>
    <col min="5131" max="5131" width="4.5703125" style="134" customWidth="1"/>
    <col min="5132" max="5132" width="4" style="134" customWidth="1"/>
    <col min="5133" max="5133" width="11.42578125" style="134" customWidth="1"/>
    <col min="5134" max="5380" width="11.42578125" style="134"/>
    <col min="5381" max="5381" width="4.42578125" style="134" customWidth="1"/>
    <col min="5382" max="5382" width="4.140625" style="134" customWidth="1"/>
    <col min="5383" max="5384" width="4" style="134" customWidth="1"/>
    <col min="5385" max="5386" width="4.140625" style="134" customWidth="1"/>
    <col min="5387" max="5387" width="4.5703125" style="134" customWidth="1"/>
    <col min="5388" max="5388" width="4" style="134" customWidth="1"/>
    <col min="5389" max="5389" width="11.42578125" style="134" customWidth="1"/>
    <col min="5390" max="5636" width="11.42578125" style="134"/>
    <col min="5637" max="5637" width="4.42578125" style="134" customWidth="1"/>
    <col min="5638" max="5638" width="4.140625" style="134" customWidth="1"/>
    <col min="5639" max="5640" width="4" style="134" customWidth="1"/>
    <col min="5641" max="5642" width="4.140625" style="134" customWidth="1"/>
    <col min="5643" max="5643" width="4.5703125" style="134" customWidth="1"/>
    <col min="5644" max="5644" width="4" style="134" customWidth="1"/>
    <col min="5645" max="5645" width="11.42578125" style="134" customWidth="1"/>
    <col min="5646" max="5892" width="11.42578125" style="134"/>
    <col min="5893" max="5893" width="4.42578125" style="134" customWidth="1"/>
    <col min="5894" max="5894" width="4.140625" style="134" customWidth="1"/>
    <col min="5895" max="5896" width="4" style="134" customWidth="1"/>
    <col min="5897" max="5898" width="4.140625" style="134" customWidth="1"/>
    <col min="5899" max="5899" width="4.5703125" style="134" customWidth="1"/>
    <col min="5900" max="5900" width="4" style="134" customWidth="1"/>
    <col min="5901" max="5901" width="11.42578125" style="134" customWidth="1"/>
    <col min="5902" max="6148" width="11.42578125" style="134"/>
    <col min="6149" max="6149" width="4.42578125" style="134" customWidth="1"/>
    <col min="6150" max="6150" width="4.140625" style="134" customWidth="1"/>
    <col min="6151" max="6152" width="4" style="134" customWidth="1"/>
    <col min="6153" max="6154" width="4.140625" style="134" customWidth="1"/>
    <col min="6155" max="6155" width="4.5703125" style="134" customWidth="1"/>
    <col min="6156" max="6156" width="4" style="134" customWidth="1"/>
    <col min="6157" max="6157" width="11.42578125" style="134" customWidth="1"/>
    <col min="6158" max="6404" width="11.42578125" style="134"/>
    <col min="6405" max="6405" width="4.42578125" style="134" customWidth="1"/>
    <col min="6406" max="6406" width="4.140625" style="134" customWidth="1"/>
    <col min="6407" max="6408" width="4" style="134" customWidth="1"/>
    <col min="6409" max="6410" width="4.140625" style="134" customWidth="1"/>
    <col min="6411" max="6411" width="4.5703125" style="134" customWidth="1"/>
    <col min="6412" max="6412" width="4" style="134" customWidth="1"/>
    <col min="6413" max="6413" width="11.42578125" style="134" customWidth="1"/>
    <col min="6414" max="6660" width="11.42578125" style="134"/>
    <col min="6661" max="6661" width="4.42578125" style="134" customWidth="1"/>
    <col min="6662" max="6662" width="4.140625" style="134" customWidth="1"/>
    <col min="6663" max="6664" width="4" style="134" customWidth="1"/>
    <col min="6665" max="6666" width="4.140625" style="134" customWidth="1"/>
    <col min="6667" max="6667" width="4.5703125" style="134" customWidth="1"/>
    <col min="6668" max="6668" width="4" style="134" customWidth="1"/>
    <col min="6669" max="6669" width="11.42578125" style="134" customWidth="1"/>
    <col min="6670" max="6916" width="11.42578125" style="134"/>
    <col min="6917" max="6917" width="4.42578125" style="134" customWidth="1"/>
    <col min="6918" max="6918" width="4.140625" style="134" customWidth="1"/>
    <col min="6919" max="6920" width="4" style="134" customWidth="1"/>
    <col min="6921" max="6922" width="4.140625" style="134" customWidth="1"/>
    <col min="6923" max="6923" width="4.5703125" style="134" customWidth="1"/>
    <col min="6924" max="6924" width="4" style="134" customWidth="1"/>
    <col min="6925" max="6925" width="11.42578125" style="134" customWidth="1"/>
    <col min="6926" max="7172" width="11.42578125" style="134"/>
    <col min="7173" max="7173" width="4.42578125" style="134" customWidth="1"/>
    <col min="7174" max="7174" width="4.140625" style="134" customWidth="1"/>
    <col min="7175" max="7176" width="4" style="134" customWidth="1"/>
    <col min="7177" max="7178" width="4.140625" style="134" customWidth="1"/>
    <col min="7179" max="7179" width="4.5703125" style="134" customWidth="1"/>
    <col min="7180" max="7180" width="4" style="134" customWidth="1"/>
    <col min="7181" max="7181" width="11.42578125" style="134" customWidth="1"/>
    <col min="7182" max="7428" width="11.42578125" style="134"/>
    <col min="7429" max="7429" width="4.42578125" style="134" customWidth="1"/>
    <col min="7430" max="7430" width="4.140625" style="134" customWidth="1"/>
    <col min="7431" max="7432" width="4" style="134" customWidth="1"/>
    <col min="7433" max="7434" width="4.140625" style="134" customWidth="1"/>
    <col min="7435" max="7435" width="4.5703125" style="134" customWidth="1"/>
    <col min="7436" max="7436" width="4" style="134" customWidth="1"/>
    <col min="7437" max="7437" width="11.42578125" style="134" customWidth="1"/>
    <col min="7438" max="7684" width="11.42578125" style="134"/>
    <col min="7685" max="7685" width="4.42578125" style="134" customWidth="1"/>
    <col min="7686" max="7686" width="4.140625" style="134" customWidth="1"/>
    <col min="7687" max="7688" width="4" style="134" customWidth="1"/>
    <col min="7689" max="7690" width="4.140625" style="134" customWidth="1"/>
    <col min="7691" max="7691" width="4.5703125" style="134" customWidth="1"/>
    <col min="7692" max="7692" width="4" style="134" customWidth="1"/>
    <col min="7693" max="7693" width="11.42578125" style="134" customWidth="1"/>
    <col min="7694" max="7940" width="11.42578125" style="134"/>
    <col min="7941" max="7941" width="4.42578125" style="134" customWidth="1"/>
    <col min="7942" max="7942" width="4.140625" style="134" customWidth="1"/>
    <col min="7943" max="7944" width="4" style="134" customWidth="1"/>
    <col min="7945" max="7946" width="4.140625" style="134" customWidth="1"/>
    <col min="7947" max="7947" width="4.5703125" style="134" customWidth="1"/>
    <col min="7948" max="7948" width="4" style="134" customWidth="1"/>
    <col min="7949" max="7949" width="11.42578125" style="134" customWidth="1"/>
    <col min="7950" max="8196" width="11.42578125" style="134"/>
    <col min="8197" max="8197" width="4.42578125" style="134" customWidth="1"/>
    <col min="8198" max="8198" width="4.140625" style="134" customWidth="1"/>
    <col min="8199" max="8200" width="4" style="134" customWidth="1"/>
    <col min="8201" max="8202" width="4.140625" style="134" customWidth="1"/>
    <col min="8203" max="8203" width="4.5703125" style="134" customWidth="1"/>
    <col min="8204" max="8204" width="4" style="134" customWidth="1"/>
    <col min="8205" max="8205" width="11.42578125" style="134" customWidth="1"/>
    <col min="8206" max="8452" width="11.42578125" style="134"/>
    <col min="8453" max="8453" width="4.42578125" style="134" customWidth="1"/>
    <col min="8454" max="8454" width="4.140625" style="134" customWidth="1"/>
    <col min="8455" max="8456" width="4" style="134" customWidth="1"/>
    <col min="8457" max="8458" width="4.140625" style="134" customWidth="1"/>
    <col min="8459" max="8459" width="4.5703125" style="134" customWidth="1"/>
    <col min="8460" max="8460" width="4" style="134" customWidth="1"/>
    <col min="8461" max="8461" width="11.42578125" style="134" customWidth="1"/>
    <col min="8462" max="8708" width="11.42578125" style="134"/>
    <col min="8709" max="8709" width="4.42578125" style="134" customWidth="1"/>
    <col min="8710" max="8710" width="4.140625" style="134" customWidth="1"/>
    <col min="8711" max="8712" width="4" style="134" customWidth="1"/>
    <col min="8713" max="8714" width="4.140625" style="134" customWidth="1"/>
    <col min="8715" max="8715" width="4.5703125" style="134" customWidth="1"/>
    <col min="8716" max="8716" width="4" style="134" customWidth="1"/>
    <col min="8717" max="8717" width="11.42578125" style="134" customWidth="1"/>
    <col min="8718" max="8964" width="11.42578125" style="134"/>
    <col min="8965" max="8965" width="4.42578125" style="134" customWidth="1"/>
    <col min="8966" max="8966" width="4.140625" style="134" customWidth="1"/>
    <col min="8967" max="8968" width="4" style="134" customWidth="1"/>
    <col min="8969" max="8970" width="4.140625" style="134" customWidth="1"/>
    <col min="8971" max="8971" width="4.5703125" style="134" customWidth="1"/>
    <col min="8972" max="8972" width="4" style="134" customWidth="1"/>
    <col min="8973" max="8973" width="11.42578125" style="134" customWidth="1"/>
    <col min="8974" max="9220" width="11.42578125" style="134"/>
    <col min="9221" max="9221" width="4.42578125" style="134" customWidth="1"/>
    <col min="9222" max="9222" width="4.140625" style="134" customWidth="1"/>
    <col min="9223" max="9224" width="4" style="134" customWidth="1"/>
    <col min="9225" max="9226" width="4.140625" style="134" customWidth="1"/>
    <col min="9227" max="9227" width="4.5703125" style="134" customWidth="1"/>
    <col min="9228" max="9228" width="4" style="134" customWidth="1"/>
    <col min="9229" max="9229" width="11.42578125" style="134" customWidth="1"/>
    <col min="9230" max="9476" width="11.42578125" style="134"/>
    <col min="9477" max="9477" width="4.42578125" style="134" customWidth="1"/>
    <col min="9478" max="9478" width="4.140625" style="134" customWidth="1"/>
    <col min="9479" max="9480" width="4" style="134" customWidth="1"/>
    <col min="9481" max="9482" width="4.140625" style="134" customWidth="1"/>
    <col min="9483" max="9483" width="4.5703125" style="134" customWidth="1"/>
    <col min="9484" max="9484" width="4" style="134" customWidth="1"/>
    <col min="9485" max="9485" width="11.42578125" style="134" customWidth="1"/>
    <col min="9486" max="9732" width="11.42578125" style="134"/>
    <col min="9733" max="9733" width="4.42578125" style="134" customWidth="1"/>
    <col min="9734" max="9734" width="4.140625" style="134" customWidth="1"/>
    <col min="9735" max="9736" width="4" style="134" customWidth="1"/>
    <col min="9737" max="9738" width="4.140625" style="134" customWidth="1"/>
    <col min="9739" max="9739" width="4.5703125" style="134" customWidth="1"/>
    <col min="9740" max="9740" width="4" style="134" customWidth="1"/>
    <col min="9741" max="9741" width="11.42578125" style="134" customWidth="1"/>
    <col min="9742" max="9988" width="11.42578125" style="134"/>
    <col min="9989" max="9989" width="4.42578125" style="134" customWidth="1"/>
    <col min="9990" max="9990" width="4.140625" style="134" customWidth="1"/>
    <col min="9991" max="9992" width="4" style="134" customWidth="1"/>
    <col min="9993" max="9994" width="4.140625" style="134" customWidth="1"/>
    <col min="9995" max="9995" width="4.5703125" style="134" customWidth="1"/>
    <col min="9996" max="9996" width="4" style="134" customWidth="1"/>
    <col min="9997" max="9997" width="11.42578125" style="134" customWidth="1"/>
    <col min="9998" max="10244" width="11.42578125" style="134"/>
    <col min="10245" max="10245" width="4.42578125" style="134" customWidth="1"/>
    <col min="10246" max="10246" width="4.140625" style="134" customWidth="1"/>
    <col min="10247" max="10248" width="4" style="134" customWidth="1"/>
    <col min="10249" max="10250" width="4.140625" style="134" customWidth="1"/>
    <col min="10251" max="10251" width="4.5703125" style="134" customWidth="1"/>
    <col min="10252" max="10252" width="4" style="134" customWidth="1"/>
    <col min="10253" max="10253" width="11.42578125" style="134" customWidth="1"/>
    <col min="10254" max="10500" width="11.42578125" style="134"/>
    <col min="10501" max="10501" width="4.42578125" style="134" customWidth="1"/>
    <col min="10502" max="10502" width="4.140625" style="134" customWidth="1"/>
    <col min="10503" max="10504" width="4" style="134" customWidth="1"/>
    <col min="10505" max="10506" width="4.140625" style="134" customWidth="1"/>
    <col min="10507" max="10507" width="4.5703125" style="134" customWidth="1"/>
    <col min="10508" max="10508" width="4" style="134" customWidth="1"/>
    <col min="10509" max="10509" width="11.42578125" style="134" customWidth="1"/>
    <col min="10510" max="10756" width="11.42578125" style="134"/>
    <col min="10757" max="10757" width="4.42578125" style="134" customWidth="1"/>
    <col min="10758" max="10758" width="4.140625" style="134" customWidth="1"/>
    <col min="10759" max="10760" width="4" style="134" customWidth="1"/>
    <col min="10761" max="10762" width="4.140625" style="134" customWidth="1"/>
    <col min="10763" max="10763" width="4.5703125" style="134" customWidth="1"/>
    <col min="10764" max="10764" width="4" style="134" customWidth="1"/>
    <col min="10765" max="10765" width="11.42578125" style="134" customWidth="1"/>
    <col min="10766" max="11012" width="11.42578125" style="134"/>
    <col min="11013" max="11013" width="4.42578125" style="134" customWidth="1"/>
    <col min="11014" max="11014" width="4.140625" style="134" customWidth="1"/>
    <col min="11015" max="11016" width="4" style="134" customWidth="1"/>
    <col min="11017" max="11018" width="4.140625" style="134" customWidth="1"/>
    <col min="11019" max="11019" width="4.5703125" style="134" customWidth="1"/>
    <col min="11020" max="11020" width="4" style="134" customWidth="1"/>
    <col min="11021" max="11021" width="11.42578125" style="134" customWidth="1"/>
    <col min="11022" max="11268" width="11.42578125" style="134"/>
    <col min="11269" max="11269" width="4.42578125" style="134" customWidth="1"/>
    <col min="11270" max="11270" width="4.140625" style="134" customWidth="1"/>
    <col min="11271" max="11272" width="4" style="134" customWidth="1"/>
    <col min="11273" max="11274" width="4.140625" style="134" customWidth="1"/>
    <col min="11275" max="11275" width="4.5703125" style="134" customWidth="1"/>
    <col min="11276" max="11276" width="4" style="134" customWidth="1"/>
    <col min="11277" max="11277" width="11.42578125" style="134" customWidth="1"/>
    <col min="11278" max="11524" width="11.42578125" style="134"/>
    <col min="11525" max="11525" width="4.42578125" style="134" customWidth="1"/>
    <col min="11526" max="11526" width="4.140625" style="134" customWidth="1"/>
    <col min="11527" max="11528" width="4" style="134" customWidth="1"/>
    <col min="11529" max="11530" width="4.140625" style="134" customWidth="1"/>
    <col min="11531" max="11531" width="4.5703125" style="134" customWidth="1"/>
    <col min="11532" max="11532" width="4" style="134" customWidth="1"/>
    <col min="11533" max="11533" width="11.42578125" style="134" customWidth="1"/>
    <col min="11534" max="11780" width="11.42578125" style="134"/>
    <col min="11781" max="11781" width="4.42578125" style="134" customWidth="1"/>
    <col min="11782" max="11782" width="4.140625" style="134" customWidth="1"/>
    <col min="11783" max="11784" width="4" style="134" customWidth="1"/>
    <col min="11785" max="11786" width="4.140625" style="134" customWidth="1"/>
    <col min="11787" max="11787" width="4.5703125" style="134" customWidth="1"/>
    <col min="11788" max="11788" width="4" style="134" customWidth="1"/>
    <col min="11789" max="11789" width="11.42578125" style="134" customWidth="1"/>
    <col min="11790" max="12036" width="11.42578125" style="134"/>
    <col min="12037" max="12037" width="4.42578125" style="134" customWidth="1"/>
    <col min="12038" max="12038" width="4.140625" style="134" customWidth="1"/>
    <col min="12039" max="12040" width="4" style="134" customWidth="1"/>
    <col min="12041" max="12042" width="4.140625" style="134" customWidth="1"/>
    <col min="12043" max="12043" width="4.5703125" style="134" customWidth="1"/>
    <col min="12044" max="12044" width="4" style="134" customWidth="1"/>
    <col min="12045" max="12045" width="11.42578125" style="134" customWidth="1"/>
    <col min="12046" max="12292" width="11.42578125" style="134"/>
    <col min="12293" max="12293" width="4.42578125" style="134" customWidth="1"/>
    <col min="12294" max="12294" width="4.140625" style="134" customWidth="1"/>
    <col min="12295" max="12296" width="4" style="134" customWidth="1"/>
    <col min="12297" max="12298" width="4.140625" style="134" customWidth="1"/>
    <col min="12299" max="12299" width="4.5703125" style="134" customWidth="1"/>
    <col min="12300" max="12300" width="4" style="134" customWidth="1"/>
    <col min="12301" max="12301" width="11.42578125" style="134" customWidth="1"/>
    <col min="12302" max="12548" width="11.42578125" style="134"/>
    <col min="12549" max="12549" width="4.42578125" style="134" customWidth="1"/>
    <col min="12550" max="12550" width="4.140625" style="134" customWidth="1"/>
    <col min="12551" max="12552" width="4" style="134" customWidth="1"/>
    <col min="12553" max="12554" width="4.140625" style="134" customWidth="1"/>
    <col min="12555" max="12555" width="4.5703125" style="134" customWidth="1"/>
    <col min="12556" max="12556" width="4" style="134" customWidth="1"/>
    <col min="12557" max="12557" width="11.42578125" style="134" customWidth="1"/>
    <col min="12558" max="12804" width="11.42578125" style="134"/>
    <col min="12805" max="12805" width="4.42578125" style="134" customWidth="1"/>
    <col min="12806" max="12806" width="4.140625" style="134" customWidth="1"/>
    <col min="12807" max="12808" width="4" style="134" customWidth="1"/>
    <col min="12809" max="12810" width="4.140625" style="134" customWidth="1"/>
    <col min="12811" max="12811" width="4.5703125" style="134" customWidth="1"/>
    <col min="12812" max="12812" width="4" style="134" customWidth="1"/>
    <col min="12813" max="12813" width="11.42578125" style="134" customWidth="1"/>
    <col min="12814" max="13060" width="11.42578125" style="134"/>
    <col min="13061" max="13061" width="4.42578125" style="134" customWidth="1"/>
    <col min="13062" max="13062" width="4.140625" style="134" customWidth="1"/>
    <col min="13063" max="13064" width="4" style="134" customWidth="1"/>
    <col min="13065" max="13066" width="4.140625" style="134" customWidth="1"/>
    <col min="13067" max="13067" width="4.5703125" style="134" customWidth="1"/>
    <col min="13068" max="13068" width="4" style="134" customWidth="1"/>
    <col min="13069" max="13069" width="11.42578125" style="134" customWidth="1"/>
    <col min="13070" max="13316" width="11.42578125" style="134"/>
    <col min="13317" max="13317" width="4.42578125" style="134" customWidth="1"/>
    <col min="13318" max="13318" width="4.140625" style="134" customWidth="1"/>
    <col min="13319" max="13320" width="4" style="134" customWidth="1"/>
    <col min="13321" max="13322" width="4.140625" style="134" customWidth="1"/>
    <col min="13323" max="13323" width="4.5703125" style="134" customWidth="1"/>
    <col min="13324" max="13324" width="4" style="134" customWidth="1"/>
    <col min="13325" max="13325" width="11.42578125" style="134" customWidth="1"/>
    <col min="13326" max="13572" width="11.42578125" style="134"/>
    <col min="13573" max="13573" width="4.42578125" style="134" customWidth="1"/>
    <col min="13574" max="13574" width="4.140625" style="134" customWidth="1"/>
    <col min="13575" max="13576" width="4" style="134" customWidth="1"/>
    <col min="13577" max="13578" width="4.140625" style="134" customWidth="1"/>
    <col min="13579" max="13579" width="4.5703125" style="134" customWidth="1"/>
    <col min="13580" max="13580" width="4" style="134" customWidth="1"/>
    <col min="13581" max="13581" width="11.42578125" style="134" customWidth="1"/>
    <col min="13582" max="13828" width="11.42578125" style="134"/>
    <col min="13829" max="13829" width="4.42578125" style="134" customWidth="1"/>
    <col min="13830" max="13830" width="4.140625" style="134" customWidth="1"/>
    <col min="13831" max="13832" width="4" style="134" customWidth="1"/>
    <col min="13833" max="13834" width="4.140625" style="134" customWidth="1"/>
    <col min="13835" max="13835" width="4.5703125" style="134" customWidth="1"/>
    <col min="13836" max="13836" width="4" style="134" customWidth="1"/>
    <col min="13837" max="13837" width="11.42578125" style="134" customWidth="1"/>
    <col min="13838" max="14084" width="11.42578125" style="134"/>
    <col min="14085" max="14085" width="4.42578125" style="134" customWidth="1"/>
    <col min="14086" max="14086" width="4.140625" style="134" customWidth="1"/>
    <col min="14087" max="14088" width="4" style="134" customWidth="1"/>
    <col min="14089" max="14090" width="4.140625" style="134" customWidth="1"/>
    <col min="14091" max="14091" width="4.5703125" style="134" customWidth="1"/>
    <col min="14092" max="14092" width="4" style="134" customWidth="1"/>
    <col min="14093" max="14093" width="11.42578125" style="134" customWidth="1"/>
    <col min="14094" max="14340" width="11.42578125" style="134"/>
    <col min="14341" max="14341" width="4.42578125" style="134" customWidth="1"/>
    <col min="14342" max="14342" width="4.140625" style="134" customWidth="1"/>
    <col min="14343" max="14344" width="4" style="134" customWidth="1"/>
    <col min="14345" max="14346" width="4.140625" style="134" customWidth="1"/>
    <col min="14347" max="14347" width="4.5703125" style="134" customWidth="1"/>
    <col min="14348" max="14348" width="4" style="134" customWidth="1"/>
    <col min="14349" max="14349" width="11.42578125" style="134" customWidth="1"/>
    <col min="14350" max="14596" width="11.42578125" style="134"/>
    <col min="14597" max="14597" width="4.42578125" style="134" customWidth="1"/>
    <col min="14598" max="14598" width="4.140625" style="134" customWidth="1"/>
    <col min="14599" max="14600" width="4" style="134" customWidth="1"/>
    <col min="14601" max="14602" width="4.140625" style="134" customWidth="1"/>
    <col min="14603" max="14603" width="4.5703125" style="134" customWidth="1"/>
    <col min="14604" max="14604" width="4" style="134" customWidth="1"/>
    <col min="14605" max="14605" width="11.42578125" style="134" customWidth="1"/>
    <col min="14606" max="14852" width="11.42578125" style="134"/>
    <col min="14853" max="14853" width="4.42578125" style="134" customWidth="1"/>
    <col min="14854" max="14854" width="4.140625" style="134" customWidth="1"/>
    <col min="14855" max="14856" width="4" style="134" customWidth="1"/>
    <col min="14857" max="14858" width="4.140625" style="134" customWidth="1"/>
    <col min="14859" max="14859" width="4.5703125" style="134" customWidth="1"/>
    <col min="14860" max="14860" width="4" style="134" customWidth="1"/>
    <col min="14861" max="14861" width="11.42578125" style="134" customWidth="1"/>
    <col min="14862" max="15108" width="11.42578125" style="134"/>
    <col min="15109" max="15109" width="4.42578125" style="134" customWidth="1"/>
    <col min="15110" max="15110" width="4.140625" style="134" customWidth="1"/>
    <col min="15111" max="15112" width="4" style="134" customWidth="1"/>
    <col min="15113" max="15114" width="4.140625" style="134" customWidth="1"/>
    <col min="15115" max="15115" width="4.5703125" style="134" customWidth="1"/>
    <col min="15116" max="15116" width="4" style="134" customWidth="1"/>
    <col min="15117" max="15117" width="11.42578125" style="134" customWidth="1"/>
    <col min="15118" max="15364" width="11.42578125" style="134"/>
    <col min="15365" max="15365" width="4.42578125" style="134" customWidth="1"/>
    <col min="15366" max="15366" width="4.140625" style="134" customWidth="1"/>
    <col min="15367" max="15368" width="4" style="134" customWidth="1"/>
    <col min="15369" max="15370" width="4.140625" style="134" customWidth="1"/>
    <col min="15371" max="15371" width="4.5703125" style="134" customWidth="1"/>
    <col min="15372" max="15372" width="4" style="134" customWidth="1"/>
    <col min="15373" max="15373" width="11.42578125" style="134" customWidth="1"/>
    <col min="15374" max="15620" width="11.42578125" style="134"/>
    <col min="15621" max="15621" width="4.42578125" style="134" customWidth="1"/>
    <col min="15622" max="15622" width="4.140625" style="134" customWidth="1"/>
    <col min="15623" max="15624" width="4" style="134" customWidth="1"/>
    <col min="15625" max="15626" width="4.140625" style="134" customWidth="1"/>
    <col min="15627" max="15627" width="4.5703125" style="134" customWidth="1"/>
    <col min="15628" max="15628" width="4" style="134" customWidth="1"/>
    <col min="15629" max="15629" width="11.42578125" style="134" customWidth="1"/>
    <col min="15630" max="15876" width="11.42578125" style="134"/>
    <col min="15877" max="15877" width="4.42578125" style="134" customWidth="1"/>
    <col min="15878" max="15878" width="4.140625" style="134" customWidth="1"/>
    <col min="15879" max="15880" width="4" style="134" customWidth="1"/>
    <col min="15881" max="15882" width="4.140625" style="134" customWidth="1"/>
    <col min="15883" max="15883" width="4.5703125" style="134" customWidth="1"/>
    <col min="15884" max="15884" width="4" style="134" customWidth="1"/>
    <col min="15885" max="15885" width="11.42578125" style="134" customWidth="1"/>
    <col min="15886" max="16132" width="11.42578125" style="134"/>
    <col min="16133" max="16133" width="4.42578125" style="134" customWidth="1"/>
    <col min="16134" max="16134" width="4.140625" style="134" customWidth="1"/>
    <col min="16135" max="16136" width="4" style="134" customWidth="1"/>
    <col min="16137" max="16138" width="4.140625" style="134" customWidth="1"/>
    <col min="16139" max="16139" width="4.5703125" style="134" customWidth="1"/>
    <col min="16140" max="16140" width="4" style="134" customWidth="1"/>
    <col min="16141" max="16141" width="11.42578125" style="134" customWidth="1"/>
    <col min="16142" max="16384" width="11.42578125" style="134"/>
  </cols>
  <sheetData>
    <row r="2" spans="1:16" ht="15" x14ac:dyDescent="0.25">
      <c r="A2" s="602" t="s">
        <v>376</v>
      </c>
      <c r="B2" s="603"/>
      <c r="C2" s="603"/>
      <c r="D2" s="603"/>
      <c r="E2" s="603"/>
      <c r="F2" s="603"/>
      <c r="G2" s="603"/>
      <c r="H2" s="603"/>
      <c r="I2" s="603"/>
      <c r="J2" s="603"/>
      <c r="K2" s="603"/>
      <c r="L2" s="603"/>
      <c r="M2" s="603"/>
      <c r="N2" s="603"/>
      <c r="O2" s="603"/>
      <c r="P2" s="604"/>
    </row>
    <row r="3" spans="1:16" x14ac:dyDescent="0.2">
      <c r="A3" s="135" t="s">
        <v>377</v>
      </c>
      <c r="B3" s="135"/>
      <c r="C3" s="134" t="s">
        <v>378</v>
      </c>
      <c r="E3" s="588" t="s">
        <v>353</v>
      </c>
      <c r="F3" s="589"/>
      <c r="G3" s="589"/>
      <c r="H3" s="589"/>
      <c r="I3" s="589"/>
      <c r="J3" s="589"/>
      <c r="K3" s="589"/>
      <c r="L3" s="589"/>
      <c r="M3" s="589"/>
      <c r="N3" s="589"/>
      <c r="O3" s="589"/>
      <c r="P3" s="590"/>
    </row>
    <row r="4" spans="1:16" x14ac:dyDescent="0.2">
      <c r="A4" s="136" t="s">
        <v>379</v>
      </c>
      <c r="B4" s="137"/>
      <c r="C4" s="137"/>
      <c r="D4" s="137"/>
      <c r="E4" s="579"/>
      <c r="F4" s="580"/>
      <c r="G4" s="580"/>
      <c r="H4" s="580"/>
      <c r="I4" s="580"/>
      <c r="J4" s="580"/>
      <c r="K4" s="580"/>
      <c r="L4" s="580"/>
      <c r="M4" s="580"/>
      <c r="N4" s="580"/>
      <c r="O4" s="580"/>
      <c r="P4" s="591"/>
    </row>
    <row r="5" spans="1:16" x14ac:dyDescent="0.2">
      <c r="A5" s="138"/>
      <c r="B5" s="139"/>
      <c r="C5" s="139"/>
      <c r="D5" s="139"/>
      <c r="E5" s="592"/>
      <c r="F5" s="593"/>
      <c r="G5" s="593"/>
      <c r="H5" s="593"/>
      <c r="I5" s="593"/>
      <c r="J5" s="593"/>
      <c r="K5" s="593"/>
      <c r="L5" s="593"/>
      <c r="M5" s="593"/>
      <c r="N5" s="593"/>
      <c r="O5" s="593"/>
      <c r="P5" s="594"/>
    </row>
    <row r="6" spans="1:16" x14ac:dyDescent="0.2">
      <c r="A6" s="140" t="s">
        <v>380</v>
      </c>
      <c r="B6" s="141"/>
      <c r="C6" s="141"/>
      <c r="D6" s="141"/>
      <c r="E6" s="592"/>
      <c r="F6" s="593"/>
      <c r="G6" s="593"/>
      <c r="H6" s="593"/>
      <c r="I6" s="593"/>
      <c r="J6" s="593"/>
      <c r="K6" s="593"/>
      <c r="L6" s="593"/>
      <c r="M6" s="593"/>
      <c r="N6" s="593"/>
      <c r="O6" s="593"/>
      <c r="P6" s="594"/>
    </row>
    <row r="7" spans="1:16" x14ac:dyDescent="0.2">
      <c r="A7" s="140" t="s">
        <v>361</v>
      </c>
      <c r="B7" s="141"/>
      <c r="C7" s="141"/>
      <c r="D7" s="141"/>
      <c r="E7" s="592"/>
      <c r="F7" s="593"/>
      <c r="G7" s="593"/>
      <c r="H7" s="593"/>
      <c r="I7" s="593"/>
      <c r="J7" s="593"/>
      <c r="K7" s="593"/>
      <c r="L7" s="593"/>
      <c r="M7" s="593"/>
      <c r="N7" s="593"/>
      <c r="O7" s="593"/>
      <c r="P7" s="594"/>
    </row>
    <row r="8" spans="1:16" x14ac:dyDescent="0.2">
      <c r="A8" s="138"/>
      <c r="B8" s="139"/>
      <c r="C8" s="139"/>
      <c r="D8" s="139"/>
      <c r="E8" s="592"/>
      <c r="F8" s="593"/>
      <c r="G8" s="593"/>
      <c r="H8" s="593"/>
      <c r="I8" s="593"/>
      <c r="J8" s="593"/>
      <c r="K8" s="593"/>
      <c r="L8" s="593"/>
      <c r="M8" s="593"/>
      <c r="N8" s="593"/>
      <c r="O8" s="593"/>
      <c r="P8" s="594"/>
    </row>
    <row r="9" spans="1:16" x14ac:dyDescent="0.2">
      <c r="A9" s="142"/>
      <c r="B9" s="143"/>
      <c r="C9" s="143"/>
      <c r="D9" s="143"/>
      <c r="E9" s="592"/>
      <c r="F9" s="593"/>
      <c r="G9" s="593"/>
      <c r="H9" s="593"/>
      <c r="I9" s="593"/>
      <c r="J9" s="593"/>
      <c r="K9" s="593"/>
      <c r="L9" s="593"/>
      <c r="M9" s="593"/>
      <c r="N9" s="593"/>
      <c r="O9" s="593"/>
      <c r="P9" s="594"/>
    </row>
    <row r="10" spans="1:16" x14ac:dyDescent="0.2">
      <c r="A10" s="144" t="s">
        <v>381</v>
      </c>
      <c r="B10" s="145" t="s">
        <v>382</v>
      </c>
      <c r="C10" s="145"/>
      <c r="D10" s="145"/>
      <c r="E10" s="592"/>
      <c r="F10" s="593"/>
      <c r="G10" s="593"/>
      <c r="H10" s="593"/>
      <c r="I10" s="593"/>
      <c r="J10" s="593"/>
      <c r="K10" s="593"/>
      <c r="L10" s="593"/>
      <c r="M10" s="593"/>
      <c r="N10" s="593"/>
      <c r="O10" s="593"/>
      <c r="P10" s="594"/>
    </row>
    <row r="11" spans="1:16" x14ac:dyDescent="0.2">
      <c r="A11" s="598"/>
      <c r="B11" s="599"/>
      <c r="C11" s="599"/>
      <c r="D11" s="599"/>
      <c r="E11" s="592"/>
      <c r="F11" s="593"/>
      <c r="G11" s="593"/>
      <c r="H11" s="593"/>
      <c r="I11" s="593"/>
      <c r="J11" s="593"/>
      <c r="K11" s="593"/>
      <c r="L11" s="593"/>
      <c r="M11" s="593"/>
      <c r="N11" s="593"/>
      <c r="O11" s="593"/>
      <c r="P11" s="594"/>
    </row>
    <row r="12" spans="1:16" x14ac:dyDescent="0.2">
      <c r="A12" s="600" t="s">
        <v>383</v>
      </c>
      <c r="B12" s="601"/>
      <c r="C12" s="601" t="s">
        <v>384</v>
      </c>
      <c r="D12" s="601"/>
      <c r="E12" s="592"/>
      <c r="F12" s="593"/>
      <c r="G12" s="593"/>
      <c r="H12" s="593"/>
      <c r="I12" s="593"/>
      <c r="J12" s="593"/>
      <c r="K12" s="593"/>
      <c r="L12" s="593"/>
      <c r="M12" s="593"/>
      <c r="N12" s="593"/>
      <c r="O12" s="593"/>
      <c r="P12" s="594"/>
    </row>
    <row r="13" spans="1:16" x14ac:dyDescent="0.2">
      <c r="A13" s="586"/>
      <c r="B13" s="584"/>
      <c r="C13" s="584"/>
      <c r="D13" s="584"/>
      <c r="E13" s="592"/>
      <c r="F13" s="593"/>
      <c r="G13" s="593"/>
      <c r="H13" s="593"/>
      <c r="I13" s="593"/>
      <c r="J13" s="593"/>
      <c r="K13" s="593"/>
      <c r="L13" s="593"/>
      <c r="M13" s="593"/>
      <c r="N13" s="593"/>
      <c r="O13" s="593"/>
      <c r="P13" s="594"/>
    </row>
    <row r="14" spans="1:16" x14ac:dyDescent="0.2">
      <c r="A14" s="146" t="s">
        <v>385</v>
      </c>
      <c r="B14" s="147"/>
      <c r="C14" s="147" t="s">
        <v>386</v>
      </c>
      <c r="D14" s="147"/>
      <c r="E14" s="586"/>
      <c r="F14" s="584"/>
      <c r="G14" s="584"/>
      <c r="H14" s="584"/>
      <c r="I14" s="584"/>
      <c r="J14" s="584"/>
      <c r="K14" s="584"/>
      <c r="L14" s="584"/>
      <c r="M14" s="584"/>
      <c r="N14" s="584"/>
      <c r="O14" s="584"/>
      <c r="P14" s="585"/>
    </row>
    <row r="15" spans="1:16" ht="13.5" thickBot="1" x14ac:dyDescent="0.25">
      <c r="A15" s="148" t="s">
        <v>387</v>
      </c>
      <c r="C15" s="134" t="s">
        <v>386</v>
      </c>
      <c r="D15" s="149"/>
      <c r="E15" s="595" t="s">
        <v>374</v>
      </c>
      <c r="F15" s="596"/>
      <c r="G15" s="596"/>
      <c r="H15" s="597"/>
      <c r="I15" s="595" t="s">
        <v>374</v>
      </c>
      <c r="J15" s="596"/>
      <c r="K15" s="596"/>
      <c r="L15" s="597"/>
      <c r="M15" s="583"/>
      <c r="N15" s="581"/>
      <c r="O15" s="581"/>
      <c r="P15" s="582"/>
    </row>
    <row r="16" spans="1:16" ht="19.5" customHeight="1" x14ac:dyDescent="0.2">
      <c r="A16" s="588" t="s">
        <v>388</v>
      </c>
      <c r="B16" s="589"/>
      <c r="C16" s="589"/>
      <c r="D16" s="589"/>
      <c r="E16" s="150"/>
      <c r="F16" s="151"/>
      <c r="G16" s="151"/>
      <c r="H16" s="152"/>
      <c r="I16" s="153"/>
      <c r="J16" s="154"/>
      <c r="K16" s="151"/>
      <c r="L16" s="155"/>
      <c r="M16" s="589" t="s">
        <v>388</v>
      </c>
      <c r="N16" s="589"/>
      <c r="O16" s="589"/>
      <c r="P16" s="590"/>
    </row>
    <row r="17" spans="1:16" x14ac:dyDescent="0.2">
      <c r="A17" s="583"/>
      <c r="B17" s="581"/>
      <c r="C17" s="581"/>
      <c r="D17" s="581"/>
      <c r="E17" s="156"/>
      <c r="F17" s="135"/>
      <c r="G17" s="135"/>
      <c r="H17" s="157"/>
      <c r="I17" s="156"/>
      <c r="J17" s="158"/>
      <c r="K17" s="135"/>
      <c r="L17" s="159"/>
      <c r="M17" s="580"/>
      <c r="N17" s="580"/>
      <c r="O17" s="580"/>
      <c r="P17" s="591"/>
    </row>
    <row r="18" spans="1:16" x14ac:dyDescent="0.2">
      <c r="A18" s="583"/>
      <c r="B18" s="581"/>
      <c r="C18" s="581"/>
      <c r="D18" s="581"/>
      <c r="E18" s="156"/>
      <c r="F18" s="135"/>
      <c r="G18" s="135"/>
      <c r="H18" s="157"/>
      <c r="I18" s="160"/>
      <c r="J18" s="135"/>
      <c r="K18" s="135"/>
      <c r="L18" s="157"/>
      <c r="M18" s="581"/>
      <c r="N18" s="581"/>
      <c r="O18" s="581"/>
      <c r="P18" s="582"/>
    </row>
    <row r="19" spans="1:16" x14ac:dyDescent="0.2">
      <c r="A19" s="583"/>
      <c r="B19" s="581"/>
      <c r="C19" s="581"/>
      <c r="D19" s="581"/>
      <c r="E19" s="156"/>
      <c r="F19" s="135"/>
      <c r="G19" s="135"/>
      <c r="H19" s="157"/>
      <c r="I19" s="160"/>
      <c r="J19" s="135"/>
      <c r="K19" s="135"/>
      <c r="L19" s="157"/>
      <c r="M19" s="581"/>
      <c r="N19" s="581"/>
      <c r="O19" s="581"/>
      <c r="P19" s="582"/>
    </row>
    <row r="20" spans="1:16" x14ac:dyDescent="0.2">
      <c r="A20" s="583"/>
      <c r="B20" s="581"/>
      <c r="C20" s="581"/>
      <c r="D20" s="581"/>
      <c r="E20" s="156"/>
      <c r="F20" s="135"/>
      <c r="G20" s="135"/>
      <c r="H20" s="157"/>
      <c r="I20" s="160"/>
      <c r="J20" s="135"/>
      <c r="K20" s="135"/>
      <c r="L20" s="157"/>
      <c r="M20" s="581"/>
      <c r="N20" s="581"/>
      <c r="O20" s="581"/>
      <c r="P20" s="582"/>
    </row>
    <row r="21" spans="1:16" x14ac:dyDescent="0.2">
      <c r="A21" s="583"/>
      <c r="B21" s="581"/>
      <c r="C21" s="581"/>
      <c r="D21" s="581"/>
      <c r="E21" s="156"/>
      <c r="F21" s="135"/>
      <c r="G21" s="135"/>
      <c r="H21" s="157"/>
      <c r="I21" s="160"/>
      <c r="J21" s="135"/>
      <c r="K21" s="135"/>
      <c r="L21" s="157"/>
      <c r="M21" s="581"/>
      <c r="N21" s="581"/>
      <c r="O21" s="581"/>
      <c r="P21" s="582"/>
    </row>
    <row r="22" spans="1:16" x14ac:dyDescent="0.2">
      <c r="A22" s="583"/>
      <c r="B22" s="581"/>
      <c r="C22" s="581"/>
      <c r="D22" s="581"/>
      <c r="E22" s="156"/>
      <c r="F22" s="135"/>
      <c r="G22" s="135"/>
      <c r="H22" s="157"/>
      <c r="I22" s="160"/>
      <c r="J22" s="135"/>
      <c r="K22" s="135"/>
      <c r="L22" s="157"/>
      <c r="M22" s="581"/>
      <c r="N22" s="581"/>
      <c r="O22" s="581"/>
      <c r="P22" s="582"/>
    </row>
    <row r="23" spans="1:16" x14ac:dyDescent="0.2">
      <c r="A23" s="583"/>
      <c r="B23" s="581"/>
      <c r="C23" s="581"/>
      <c r="D23" s="581"/>
      <c r="E23" s="156"/>
      <c r="F23" s="135"/>
      <c r="G23" s="135"/>
      <c r="H23" s="157"/>
      <c r="I23" s="160"/>
      <c r="J23" s="135"/>
      <c r="K23" s="135"/>
      <c r="L23" s="157"/>
      <c r="M23" s="581"/>
      <c r="N23" s="581"/>
      <c r="O23" s="581"/>
      <c r="P23" s="582"/>
    </row>
    <row r="24" spans="1:16" x14ac:dyDescent="0.2">
      <c r="A24" s="583"/>
      <c r="B24" s="581"/>
      <c r="C24" s="581"/>
      <c r="D24" s="581"/>
      <c r="E24" s="156"/>
      <c r="F24" s="135"/>
      <c r="G24" s="135"/>
      <c r="H24" s="157"/>
      <c r="I24" s="160"/>
      <c r="J24" s="135"/>
      <c r="K24" s="135"/>
      <c r="L24" s="157"/>
      <c r="M24" s="581"/>
      <c r="N24" s="581"/>
      <c r="O24" s="581"/>
      <c r="P24" s="582"/>
    </row>
    <row r="25" spans="1:16" x14ac:dyDescent="0.2">
      <c r="A25" s="583"/>
      <c r="B25" s="581"/>
      <c r="C25" s="581"/>
      <c r="D25" s="581"/>
      <c r="E25" s="156"/>
      <c r="F25" s="135"/>
      <c r="G25" s="135"/>
      <c r="H25" s="157"/>
      <c r="I25" s="160"/>
      <c r="J25" s="135"/>
      <c r="K25" s="135"/>
      <c r="L25" s="157"/>
      <c r="M25" s="581"/>
      <c r="N25" s="581"/>
      <c r="O25" s="581"/>
      <c r="P25" s="582"/>
    </row>
    <row r="26" spans="1:16" x14ac:dyDescent="0.2">
      <c r="A26" s="583"/>
      <c r="B26" s="581"/>
      <c r="C26" s="581"/>
      <c r="D26" s="581"/>
      <c r="E26" s="156"/>
      <c r="F26" s="135"/>
      <c r="G26" s="135"/>
      <c r="H26" s="157"/>
      <c r="I26" s="160"/>
      <c r="J26" s="135"/>
      <c r="K26" s="135"/>
      <c r="L26" s="157"/>
      <c r="M26" s="581"/>
      <c r="N26" s="581"/>
      <c r="O26" s="581"/>
      <c r="P26" s="582"/>
    </row>
    <row r="27" spans="1:16" x14ac:dyDescent="0.2">
      <c r="A27" s="583"/>
      <c r="B27" s="581"/>
      <c r="C27" s="581"/>
      <c r="D27" s="581"/>
      <c r="E27" s="156"/>
      <c r="F27" s="135"/>
      <c r="G27" s="135"/>
      <c r="H27" s="157"/>
      <c r="I27" s="160"/>
      <c r="J27" s="135"/>
      <c r="K27" s="135"/>
      <c r="L27" s="157"/>
      <c r="M27" s="581"/>
      <c r="N27" s="581"/>
      <c r="O27" s="581"/>
      <c r="P27" s="582"/>
    </row>
    <row r="28" spans="1:16" x14ac:dyDescent="0.2">
      <c r="A28" s="583"/>
      <c r="B28" s="581"/>
      <c r="C28" s="581"/>
      <c r="D28" s="581"/>
      <c r="E28" s="156"/>
      <c r="F28" s="135"/>
      <c r="G28" s="135"/>
      <c r="H28" s="157"/>
      <c r="I28" s="160"/>
      <c r="J28" s="135"/>
      <c r="K28" s="135"/>
      <c r="L28" s="157"/>
      <c r="M28" s="584"/>
      <c r="N28" s="584"/>
      <c r="O28" s="584"/>
      <c r="P28" s="585"/>
    </row>
    <row r="29" spans="1:16" x14ac:dyDescent="0.2">
      <c r="A29" s="583"/>
      <c r="B29" s="581"/>
      <c r="C29" s="581"/>
      <c r="D29" s="581"/>
      <c r="E29" s="156"/>
      <c r="F29" s="135"/>
      <c r="G29" s="135"/>
      <c r="H29" s="157"/>
      <c r="I29" s="160"/>
      <c r="J29" s="135"/>
      <c r="K29" s="135"/>
      <c r="L29" s="157"/>
      <c r="M29" s="581"/>
      <c r="N29" s="581"/>
      <c r="O29" s="581"/>
      <c r="P29" s="582"/>
    </row>
    <row r="30" spans="1:16" x14ac:dyDescent="0.2">
      <c r="A30" s="583"/>
      <c r="B30" s="581"/>
      <c r="C30" s="581"/>
      <c r="D30" s="581"/>
      <c r="E30" s="156"/>
      <c r="F30" s="135"/>
      <c r="G30" s="135"/>
      <c r="H30" s="157"/>
      <c r="I30" s="160"/>
      <c r="J30" s="135"/>
      <c r="K30" s="135"/>
      <c r="L30" s="157"/>
      <c r="M30" s="587"/>
      <c r="N30" s="581"/>
      <c r="O30" s="581"/>
      <c r="P30" s="582"/>
    </row>
    <row r="31" spans="1:16" x14ac:dyDescent="0.2">
      <c r="A31" s="583"/>
      <c r="B31" s="581"/>
      <c r="C31" s="581"/>
      <c r="D31" s="581"/>
      <c r="E31" s="156"/>
      <c r="F31" s="135"/>
      <c r="G31" s="135"/>
      <c r="H31" s="157"/>
      <c r="I31" s="160"/>
      <c r="J31" s="135"/>
      <c r="K31" s="135"/>
      <c r="L31" s="157"/>
      <c r="M31" s="587"/>
      <c r="N31" s="581"/>
      <c r="O31" s="581"/>
      <c r="P31" s="582"/>
    </row>
    <row r="32" spans="1:16" x14ac:dyDescent="0.2">
      <c r="A32" s="583"/>
      <c r="B32" s="581"/>
      <c r="C32" s="581"/>
      <c r="D32" s="581"/>
      <c r="E32" s="156"/>
      <c r="F32" s="135"/>
      <c r="G32" s="135"/>
      <c r="H32" s="157"/>
      <c r="I32" s="160"/>
      <c r="J32" s="135"/>
      <c r="K32" s="135"/>
      <c r="L32" s="157"/>
      <c r="M32" s="587"/>
      <c r="N32" s="581"/>
      <c r="O32" s="581"/>
      <c r="P32" s="582"/>
    </row>
    <row r="33" spans="1:16" x14ac:dyDescent="0.2">
      <c r="A33" s="583"/>
      <c r="B33" s="581"/>
      <c r="C33" s="581"/>
      <c r="D33" s="581"/>
      <c r="E33" s="156"/>
      <c r="F33" s="135"/>
      <c r="G33" s="135"/>
      <c r="H33" s="157"/>
      <c r="I33" s="160"/>
      <c r="J33" s="135"/>
      <c r="K33" s="135"/>
      <c r="L33" s="157"/>
      <c r="M33" s="587"/>
      <c r="N33" s="581"/>
      <c r="O33" s="581"/>
      <c r="P33" s="582"/>
    </row>
    <row r="34" spans="1:16" x14ac:dyDescent="0.2">
      <c r="A34" s="583"/>
      <c r="B34" s="581"/>
      <c r="C34" s="581"/>
      <c r="D34" s="581"/>
      <c r="E34" s="156"/>
      <c r="F34" s="135"/>
      <c r="G34" s="135"/>
      <c r="H34" s="157"/>
      <c r="I34" s="160"/>
      <c r="J34" s="135"/>
      <c r="K34" s="135"/>
      <c r="L34" s="157"/>
      <c r="M34" s="587"/>
      <c r="N34" s="581"/>
      <c r="O34" s="581"/>
      <c r="P34" s="582"/>
    </row>
    <row r="35" spans="1:16" x14ac:dyDescent="0.2">
      <c r="A35" s="583"/>
      <c r="B35" s="581"/>
      <c r="C35" s="581"/>
      <c r="D35" s="581"/>
      <c r="E35" s="156"/>
      <c r="F35" s="135"/>
      <c r="G35" s="135"/>
      <c r="H35" s="157"/>
      <c r="I35" s="160"/>
      <c r="J35" s="135"/>
      <c r="K35" s="135"/>
      <c r="L35" s="157"/>
      <c r="M35" s="587"/>
      <c r="N35" s="581"/>
      <c r="O35" s="581"/>
      <c r="P35" s="582"/>
    </row>
    <row r="36" spans="1:16" x14ac:dyDescent="0.2">
      <c r="A36" s="583"/>
      <c r="B36" s="581"/>
      <c r="C36" s="581"/>
      <c r="D36" s="581"/>
      <c r="E36" s="156"/>
      <c r="F36" s="135"/>
      <c r="G36" s="135"/>
      <c r="H36" s="157"/>
      <c r="I36" s="160"/>
      <c r="J36" s="135"/>
      <c r="K36" s="135"/>
      <c r="L36" s="157"/>
      <c r="M36" s="587"/>
      <c r="N36" s="581"/>
      <c r="O36" s="581"/>
      <c r="P36" s="582"/>
    </row>
    <row r="37" spans="1:16" x14ac:dyDescent="0.2">
      <c r="A37" s="583"/>
      <c r="B37" s="581"/>
      <c r="C37" s="581"/>
      <c r="D37" s="581"/>
      <c r="E37" s="156"/>
      <c r="F37" s="135"/>
      <c r="G37" s="135"/>
      <c r="H37" s="157"/>
      <c r="I37" s="160"/>
      <c r="J37" s="135"/>
      <c r="K37" s="135"/>
      <c r="L37" s="157"/>
      <c r="M37" s="587"/>
      <c r="N37" s="581"/>
      <c r="O37" s="581"/>
      <c r="P37" s="582"/>
    </row>
    <row r="38" spans="1:16" x14ac:dyDescent="0.2">
      <c r="A38" s="583"/>
      <c r="B38" s="581"/>
      <c r="C38" s="581"/>
      <c r="D38" s="581"/>
      <c r="E38" s="156"/>
      <c r="F38" s="135"/>
      <c r="G38" s="135"/>
      <c r="H38" s="157"/>
      <c r="I38" s="160"/>
      <c r="J38" s="135"/>
      <c r="K38" s="135"/>
      <c r="L38" s="157"/>
      <c r="M38" s="587"/>
      <c r="N38" s="581"/>
      <c r="O38" s="581"/>
      <c r="P38" s="582"/>
    </row>
    <row r="39" spans="1:16" x14ac:dyDescent="0.2">
      <c r="A39" s="583"/>
      <c r="B39" s="581"/>
      <c r="C39" s="581"/>
      <c r="D39" s="581"/>
      <c r="E39" s="156"/>
      <c r="F39" s="135"/>
      <c r="G39" s="135"/>
      <c r="H39" s="157"/>
      <c r="I39" s="160"/>
      <c r="J39" s="135"/>
      <c r="K39" s="135"/>
      <c r="L39" s="157"/>
      <c r="M39" s="587"/>
      <c r="N39" s="581"/>
      <c r="O39" s="581"/>
      <c r="P39" s="582"/>
    </row>
    <row r="40" spans="1:16" x14ac:dyDescent="0.2">
      <c r="A40" s="583"/>
      <c r="B40" s="581"/>
      <c r="C40" s="581"/>
      <c r="D40" s="581"/>
      <c r="E40" s="156"/>
      <c r="F40" s="135"/>
      <c r="G40" s="135"/>
      <c r="H40" s="157"/>
      <c r="I40" s="160"/>
      <c r="J40" s="135"/>
      <c r="K40" s="135"/>
      <c r="L40" s="157"/>
      <c r="M40" s="587"/>
      <c r="N40" s="581"/>
      <c r="O40" s="581"/>
      <c r="P40" s="582"/>
    </row>
    <row r="41" spans="1:16" x14ac:dyDescent="0.2">
      <c r="A41" s="583"/>
      <c r="B41" s="581"/>
      <c r="C41" s="581"/>
      <c r="D41" s="581"/>
      <c r="E41" s="156"/>
      <c r="F41" s="135"/>
      <c r="G41" s="135"/>
      <c r="H41" s="157"/>
      <c r="I41" s="160"/>
      <c r="J41" s="135"/>
      <c r="K41" s="135"/>
      <c r="L41" s="157"/>
      <c r="M41" s="587"/>
      <c r="N41" s="581"/>
      <c r="O41" s="581"/>
      <c r="P41" s="582"/>
    </row>
    <row r="42" spans="1:16" x14ac:dyDescent="0.2">
      <c r="A42" s="583"/>
      <c r="B42" s="581"/>
      <c r="C42" s="581"/>
      <c r="D42" s="581"/>
      <c r="E42" s="156"/>
      <c r="F42" s="135"/>
      <c r="G42" s="135"/>
      <c r="H42" s="157"/>
      <c r="I42" s="160"/>
      <c r="J42" s="135"/>
      <c r="K42" s="135"/>
      <c r="L42" s="157"/>
      <c r="M42" s="587"/>
      <c r="N42" s="581"/>
      <c r="O42" s="581"/>
      <c r="P42" s="582"/>
    </row>
    <row r="43" spans="1:16" x14ac:dyDescent="0.2">
      <c r="A43" s="583"/>
      <c r="B43" s="581"/>
      <c r="C43" s="581"/>
      <c r="D43" s="581"/>
      <c r="E43" s="156"/>
      <c r="F43" s="135"/>
      <c r="G43" s="135"/>
      <c r="H43" s="157"/>
      <c r="I43" s="160"/>
      <c r="J43" s="135"/>
      <c r="K43" s="135"/>
      <c r="L43" s="157"/>
      <c r="M43" s="587"/>
      <c r="N43" s="581"/>
      <c r="O43" s="581"/>
      <c r="P43" s="582"/>
    </row>
    <row r="44" spans="1:16" x14ac:dyDescent="0.2">
      <c r="A44" s="583"/>
      <c r="B44" s="581"/>
      <c r="C44" s="581"/>
      <c r="D44" s="581"/>
      <c r="E44" s="156"/>
      <c r="F44" s="135"/>
      <c r="G44" s="135"/>
      <c r="H44" s="157"/>
      <c r="I44" s="160"/>
      <c r="J44" s="135"/>
      <c r="K44" s="135"/>
      <c r="L44" s="157"/>
      <c r="M44" s="587"/>
      <c r="N44" s="581"/>
      <c r="O44" s="581"/>
      <c r="P44" s="582"/>
    </row>
    <row r="45" spans="1:16" x14ac:dyDescent="0.2">
      <c r="A45" s="583"/>
      <c r="B45" s="581"/>
      <c r="C45" s="581"/>
      <c r="D45" s="581"/>
      <c r="E45" s="156"/>
      <c r="F45" s="135"/>
      <c r="G45" s="135"/>
      <c r="H45" s="157"/>
      <c r="I45" s="160"/>
      <c r="J45" s="135"/>
      <c r="K45" s="135"/>
      <c r="L45" s="157"/>
      <c r="M45" s="587"/>
      <c r="N45" s="581"/>
      <c r="O45" s="581"/>
      <c r="P45" s="582"/>
    </row>
    <row r="46" spans="1:16" x14ac:dyDescent="0.2">
      <c r="A46" s="583"/>
      <c r="B46" s="581"/>
      <c r="C46" s="581"/>
      <c r="D46" s="581"/>
      <c r="E46" s="156"/>
      <c r="F46" s="135"/>
      <c r="G46" s="135"/>
      <c r="H46" s="157"/>
      <c r="I46" s="160"/>
      <c r="J46" s="135"/>
      <c r="K46" s="135"/>
      <c r="L46" s="157"/>
      <c r="M46" s="587"/>
      <c r="N46" s="581"/>
      <c r="O46" s="581"/>
      <c r="P46" s="582"/>
    </row>
    <row r="47" spans="1:16" x14ac:dyDescent="0.2">
      <c r="A47" s="583"/>
      <c r="B47" s="581"/>
      <c r="C47" s="581"/>
      <c r="D47" s="581"/>
      <c r="E47" s="156"/>
      <c r="F47" s="135"/>
      <c r="G47" s="135"/>
      <c r="H47" s="157"/>
      <c r="I47" s="160"/>
      <c r="J47" s="135"/>
      <c r="K47" s="135"/>
      <c r="L47" s="157"/>
      <c r="M47" s="587"/>
      <c r="N47" s="581"/>
      <c r="O47" s="581"/>
      <c r="P47" s="582"/>
    </row>
    <row r="48" spans="1:16" x14ac:dyDescent="0.2">
      <c r="A48" s="583"/>
      <c r="B48" s="581"/>
      <c r="C48" s="581"/>
      <c r="D48" s="581"/>
      <c r="E48" s="156"/>
      <c r="F48" s="135"/>
      <c r="G48" s="135"/>
      <c r="H48" s="157"/>
      <c r="I48" s="160"/>
      <c r="J48" s="135"/>
      <c r="K48" s="135"/>
      <c r="L48" s="157"/>
      <c r="M48" s="587"/>
      <c r="N48" s="581"/>
      <c r="O48" s="581"/>
      <c r="P48" s="582"/>
    </row>
    <row r="49" spans="1:16" x14ac:dyDescent="0.2">
      <c r="A49" s="583"/>
      <c r="B49" s="581"/>
      <c r="C49" s="581"/>
      <c r="D49" s="581"/>
      <c r="E49" s="156"/>
      <c r="F49" s="135"/>
      <c r="G49" s="135"/>
      <c r="H49" s="157"/>
      <c r="I49" s="160"/>
      <c r="J49" s="135"/>
      <c r="K49" s="135"/>
      <c r="L49" s="157"/>
      <c r="M49" s="587"/>
      <c r="N49" s="581"/>
      <c r="O49" s="581"/>
      <c r="P49" s="582"/>
    </row>
    <row r="50" spans="1:16" x14ac:dyDescent="0.2">
      <c r="A50" s="583"/>
      <c r="B50" s="581"/>
      <c r="C50" s="581"/>
      <c r="D50" s="581"/>
      <c r="E50" s="156"/>
      <c r="F50" s="135"/>
      <c r="G50" s="135"/>
      <c r="H50" s="157"/>
      <c r="I50" s="160"/>
      <c r="J50" s="135"/>
      <c r="K50" s="135"/>
      <c r="L50" s="157"/>
      <c r="M50" s="587"/>
      <c r="N50" s="581"/>
      <c r="O50" s="581"/>
      <c r="P50" s="582"/>
    </row>
    <row r="51" spans="1:16" x14ac:dyDescent="0.2">
      <c r="A51" s="583"/>
      <c r="B51" s="581"/>
      <c r="C51" s="581"/>
      <c r="D51" s="581"/>
      <c r="E51" s="156"/>
      <c r="F51" s="135"/>
      <c r="G51" s="135"/>
      <c r="H51" s="157"/>
      <c r="I51" s="160"/>
      <c r="J51" s="135"/>
      <c r="K51" s="135"/>
      <c r="L51" s="157"/>
      <c r="M51" s="587"/>
      <c r="N51" s="581"/>
      <c r="O51" s="581"/>
      <c r="P51" s="582"/>
    </row>
    <row r="52" spans="1:16" x14ac:dyDescent="0.2">
      <c r="A52" s="583"/>
      <c r="B52" s="581"/>
      <c r="C52" s="581"/>
      <c r="D52" s="581"/>
      <c r="E52" s="156"/>
      <c r="F52" s="135"/>
      <c r="G52" s="135"/>
      <c r="H52" s="157"/>
      <c r="I52" s="160"/>
      <c r="J52" s="135"/>
      <c r="K52" s="135"/>
      <c r="L52" s="157"/>
      <c r="M52" s="581"/>
      <c r="N52" s="581"/>
      <c r="O52" s="581"/>
      <c r="P52" s="582"/>
    </row>
    <row r="53" spans="1:16" x14ac:dyDescent="0.2">
      <c r="A53" s="583"/>
      <c r="B53" s="581"/>
      <c r="C53" s="581"/>
      <c r="D53" s="581"/>
      <c r="E53" s="156"/>
      <c r="F53" s="135"/>
      <c r="G53" s="135"/>
      <c r="H53" s="157"/>
      <c r="I53" s="160"/>
      <c r="J53" s="135"/>
      <c r="K53" s="135"/>
      <c r="L53" s="157"/>
      <c r="M53" s="581"/>
      <c r="N53" s="581"/>
      <c r="O53" s="581"/>
      <c r="P53" s="582"/>
    </row>
    <row r="54" spans="1:16" x14ac:dyDescent="0.2">
      <c r="A54" s="583"/>
      <c r="B54" s="581"/>
      <c r="C54" s="581"/>
      <c r="D54" s="581"/>
      <c r="E54" s="156"/>
      <c r="F54" s="135"/>
      <c r="G54" s="135"/>
      <c r="H54" s="157"/>
      <c r="I54" s="160"/>
      <c r="J54" s="135"/>
      <c r="K54" s="135"/>
      <c r="L54" s="157"/>
      <c r="M54" s="581"/>
      <c r="N54" s="581"/>
      <c r="O54" s="581"/>
      <c r="P54" s="582"/>
    </row>
    <row r="55" spans="1:16" x14ac:dyDescent="0.2">
      <c r="A55" s="583"/>
      <c r="B55" s="581"/>
      <c r="C55" s="581"/>
      <c r="D55" s="581"/>
      <c r="E55" s="156"/>
      <c r="F55" s="135"/>
      <c r="G55" s="135"/>
      <c r="H55" s="157"/>
      <c r="I55" s="160"/>
      <c r="J55" s="135"/>
      <c r="K55" s="135"/>
      <c r="L55" s="157"/>
      <c r="M55" s="581"/>
      <c r="N55" s="581"/>
      <c r="O55" s="581"/>
      <c r="P55" s="582"/>
    </row>
    <row r="56" spans="1:16" x14ac:dyDescent="0.2">
      <c r="A56" s="583"/>
      <c r="B56" s="581"/>
      <c r="C56" s="581"/>
      <c r="D56" s="581"/>
      <c r="E56" s="156"/>
      <c r="F56" s="135"/>
      <c r="G56" s="135"/>
      <c r="H56" s="157"/>
      <c r="I56" s="160"/>
      <c r="J56" s="135"/>
      <c r="K56" s="135"/>
      <c r="L56" s="157"/>
      <c r="M56" s="581"/>
      <c r="N56" s="581"/>
      <c r="O56" s="581"/>
      <c r="P56" s="582"/>
    </row>
    <row r="57" spans="1:16" x14ac:dyDescent="0.2">
      <c r="A57" s="586"/>
      <c r="B57" s="584"/>
      <c r="C57" s="584"/>
      <c r="D57" s="584"/>
      <c r="E57" s="156"/>
      <c r="F57" s="135"/>
      <c r="G57" s="135"/>
      <c r="H57" s="157"/>
      <c r="I57" s="160"/>
      <c r="J57" s="135"/>
      <c r="K57" s="135"/>
      <c r="L57" s="157"/>
      <c r="M57" s="584"/>
      <c r="N57" s="584"/>
      <c r="O57" s="584"/>
      <c r="P57" s="585"/>
    </row>
    <row r="58" spans="1:16" x14ac:dyDescent="0.2">
      <c r="A58" s="583"/>
      <c r="B58" s="581"/>
      <c r="C58" s="581"/>
      <c r="D58" s="581"/>
      <c r="E58" s="156"/>
      <c r="F58" s="135"/>
      <c r="G58" s="135"/>
      <c r="H58" s="157"/>
      <c r="I58" s="160"/>
      <c r="J58" s="135"/>
      <c r="K58" s="135"/>
      <c r="L58" s="157"/>
      <c r="M58" s="581"/>
      <c r="N58" s="581"/>
      <c r="O58" s="581"/>
      <c r="P58" s="582"/>
    </row>
    <row r="59" spans="1:16" x14ac:dyDescent="0.2">
      <c r="A59" s="583"/>
      <c r="B59" s="581"/>
      <c r="C59" s="581"/>
      <c r="D59" s="581"/>
      <c r="E59" s="156"/>
      <c r="F59" s="135"/>
      <c r="G59" s="135"/>
      <c r="H59" s="157"/>
      <c r="I59" s="160"/>
      <c r="J59" s="135"/>
      <c r="K59" s="135"/>
      <c r="L59" s="157"/>
      <c r="M59" s="581"/>
      <c r="N59" s="581"/>
      <c r="O59" s="581"/>
      <c r="P59" s="582"/>
    </row>
    <row r="60" spans="1:16" x14ac:dyDescent="0.2">
      <c r="A60" s="583"/>
      <c r="B60" s="581"/>
      <c r="C60" s="581"/>
      <c r="D60" s="581"/>
      <c r="E60" s="156"/>
      <c r="F60" s="135"/>
      <c r="G60" s="135"/>
      <c r="H60" s="157"/>
      <c r="I60" s="160"/>
      <c r="J60" s="135"/>
      <c r="K60" s="135"/>
      <c r="L60" s="157"/>
      <c r="M60" s="581"/>
      <c r="N60" s="581"/>
      <c r="O60" s="581"/>
      <c r="P60" s="582"/>
    </row>
    <row r="61" spans="1:16" x14ac:dyDescent="0.2">
      <c r="A61" s="583"/>
      <c r="B61" s="581"/>
      <c r="C61" s="581"/>
      <c r="D61" s="581"/>
      <c r="E61" s="156"/>
      <c r="F61" s="135"/>
      <c r="G61" s="135"/>
      <c r="H61" s="157"/>
      <c r="I61" s="160"/>
      <c r="J61" s="135"/>
      <c r="K61" s="135"/>
      <c r="L61" s="157"/>
      <c r="M61" s="581"/>
      <c r="N61" s="581"/>
      <c r="O61" s="581"/>
      <c r="P61" s="582"/>
    </row>
    <row r="62" spans="1:16" x14ac:dyDescent="0.2">
      <c r="A62" s="583"/>
      <c r="B62" s="581"/>
      <c r="C62" s="581"/>
      <c r="D62" s="581"/>
      <c r="E62" s="156"/>
      <c r="F62" s="135"/>
      <c r="G62" s="135"/>
      <c r="H62" s="157"/>
      <c r="I62" s="160"/>
      <c r="J62" s="135"/>
      <c r="K62" s="135"/>
      <c r="L62" s="157"/>
      <c r="M62" s="581"/>
      <c r="N62" s="581"/>
      <c r="O62" s="581"/>
      <c r="P62" s="582"/>
    </row>
    <row r="63" spans="1:16" x14ac:dyDescent="0.2">
      <c r="A63" s="583"/>
      <c r="B63" s="581"/>
      <c r="C63" s="581"/>
      <c r="D63" s="581"/>
      <c r="E63" s="156"/>
      <c r="F63" s="135"/>
      <c r="G63" s="135"/>
      <c r="H63" s="157"/>
      <c r="I63" s="160"/>
      <c r="J63" s="135"/>
      <c r="K63" s="135"/>
      <c r="L63" s="157"/>
      <c r="M63" s="581"/>
      <c r="N63" s="581"/>
      <c r="O63" s="581"/>
      <c r="P63" s="582"/>
    </row>
    <row r="64" spans="1:16" x14ac:dyDescent="0.2">
      <c r="A64" s="583"/>
      <c r="B64" s="581"/>
      <c r="C64" s="581"/>
      <c r="D64" s="581"/>
      <c r="E64" s="156"/>
      <c r="F64" s="135"/>
      <c r="G64" s="135"/>
      <c r="H64" s="157"/>
      <c r="I64" s="160"/>
      <c r="J64" s="135"/>
      <c r="K64" s="135"/>
      <c r="L64" s="157"/>
      <c r="M64" s="581"/>
      <c r="N64" s="581"/>
      <c r="O64" s="581"/>
      <c r="P64" s="582"/>
    </row>
    <row r="65" spans="1:16" x14ac:dyDescent="0.2">
      <c r="A65" s="583"/>
      <c r="B65" s="581"/>
      <c r="C65" s="581"/>
      <c r="D65" s="581"/>
      <c r="E65" s="156"/>
      <c r="F65" s="135"/>
      <c r="G65" s="135"/>
      <c r="H65" s="157"/>
      <c r="I65" s="160"/>
      <c r="J65" s="135"/>
      <c r="K65" s="135"/>
      <c r="L65" s="157"/>
      <c r="M65" s="581"/>
      <c r="N65" s="581"/>
      <c r="O65" s="581"/>
      <c r="P65" s="582"/>
    </row>
    <row r="66" spans="1:16" x14ac:dyDescent="0.2">
      <c r="A66" s="583"/>
      <c r="B66" s="581"/>
      <c r="C66" s="581"/>
      <c r="D66" s="581"/>
      <c r="E66" s="156"/>
      <c r="F66" s="135"/>
      <c r="G66" s="135"/>
      <c r="H66" s="157"/>
      <c r="I66" s="160"/>
      <c r="J66" s="135"/>
      <c r="K66" s="135"/>
      <c r="L66" s="157"/>
      <c r="M66" s="581"/>
      <c r="N66" s="581"/>
      <c r="O66" s="581"/>
      <c r="P66" s="582"/>
    </row>
    <row r="67" spans="1:16" x14ac:dyDescent="0.2">
      <c r="A67" s="583"/>
      <c r="B67" s="581"/>
      <c r="C67" s="581"/>
      <c r="D67" s="581"/>
      <c r="E67" s="156"/>
      <c r="F67" s="135"/>
      <c r="G67" s="135"/>
      <c r="H67" s="157"/>
      <c r="I67" s="160"/>
      <c r="J67" s="135"/>
      <c r="K67" s="135"/>
      <c r="L67" s="157"/>
      <c r="M67" s="581"/>
      <c r="N67" s="581"/>
      <c r="O67" s="581"/>
      <c r="P67" s="582"/>
    </row>
    <row r="68" spans="1:16" x14ac:dyDescent="0.2">
      <c r="A68" s="583"/>
      <c r="B68" s="581"/>
      <c r="C68" s="581"/>
      <c r="D68" s="581"/>
      <c r="E68" s="156"/>
      <c r="F68" s="135"/>
      <c r="G68" s="135"/>
      <c r="H68" s="157"/>
      <c r="I68" s="160"/>
      <c r="J68" s="135"/>
      <c r="K68" s="135"/>
      <c r="L68" s="157"/>
      <c r="M68" s="581"/>
      <c r="N68" s="581"/>
      <c r="O68" s="581"/>
      <c r="P68" s="582"/>
    </row>
    <row r="69" spans="1:16" x14ac:dyDescent="0.2">
      <c r="A69" s="583"/>
      <c r="B69" s="581"/>
      <c r="C69" s="581"/>
      <c r="D69" s="581"/>
      <c r="E69" s="156"/>
      <c r="F69" s="135"/>
      <c r="G69" s="135"/>
      <c r="H69" s="157"/>
      <c r="I69" s="160"/>
      <c r="J69" s="135"/>
      <c r="K69" s="135"/>
      <c r="L69" s="157"/>
      <c r="M69" s="581"/>
      <c r="N69" s="581"/>
      <c r="O69" s="581"/>
      <c r="P69" s="582"/>
    </row>
    <row r="70" spans="1:16" x14ac:dyDescent="0.2">
      <c r="A70" s="583"/>
      <c r="B70" s="581"/>
      <c r="C70" s="581"/>
      <c r="D70" s="581"/>
      <c r="E70" s="156"/>
      <c r="F70" s="135"/>
      <c r="G70" s="135"/>
      <c r="H70" s="157"/>
      <c r="I70" s="160"/>
      <c r="J70" s="135"/>
      <c r="K70" s="135"/>
      <c r="L70" s="157"/>
      <c r="M70" s="581"/>
      <c r="N70" s="581"/>
      <c r="O70" s="581"/>
      <c r="P70" s="582"/>
    </row>
    <row r="71" spans="1:16" x14ac:dyDescent="0.2">
      <c r="A71" s="583"/>
      <c r="B71" s="581"/>
      <c r="C71" s="581"/>
      <c r="D71" s="581"/>
      <c r="E71" s="156"/>
      <c r="F71" s="135"/>
      <c r="G71" s="135"/>
      <c r="H71" s="157"/>
      <c r="I71" s="160"/>
      <c r="J71" s="135"/>
      <c r="K71" s="135"/>
      <c r="L71" s="157"/>
      <c r="M71" s="581"/>
      <c r="N71" s="581"/>
      <c r="O71" s="581"/>
      <c r="P71" s="582"/>
    </row>
    <row r="72" spans="1:16" x14ac:dyDescent="0.2">
      <c r="A72" s="583"/>
      <c r="B72" s="581"/>
      <c r="C72" s="581"/>
      <c r="D72" s="581"/>
      <c r="E72" s="156"/>
      <c r="F72" s="135"/>
      <c r="G72" s="135"/>
      <c r="H72" s="157"/>
      <c r="I72" s="160"/>
      <c r="J72" s="135"/>
      <c r="K72" s="135"/>
      <c r="L72" s="157"/>
      <c r="M72" s="581"/>
      <c r="N72" s="581"/>
      <c r="O72" s="581"/>
      <c r="P72" s="582"/>
    </row>
    <row r="73" spans="1:16" x14ac:dyDescent="0.2">
      <c r="A73" s="583"/>
      <c r="B73" s="581"/>
      <c r="C73" s="581"/>
      <c r="D73" s="581"/>
      <c r="E73" s="156"/>
      <c r="F73" s="135"/>
      <c r="G73" s="135"/>
      <c r="H73" s="157"/>
      <c r="I73" s="160"/>
      <c r="J73" s="135"/>
      <c r="K73" s="135"/>
      <c r="L73" s="157"/>
      <c r="M73" s="581"/>
      <c r="N73" s="581"/>
      <c r="O73" s="581"/>
      <c r="P73" s="582"/>
    </row>
    <row r="74" spans="1:16" x14ac:dyDescent="0.2">
      <c r="A74" s="583"/>
      <c r="B74" s="581"/>
      <c r="C74" s="581"/>
      <c r="D74" s="581"/>
      <c r="E74" s="156"/>
      <c r="F74" s="135"/>
      <c r="G74" s="135"/>
      <c r="H74" s="157"/>
      <c r="I74" s="160"/>
      <c r="J74" s="135"/>
      <c r="K74" s="135"/>
      <c r="L74" s="157"/>
      <c r="M74" s="581"/>
      <c r="N74" s="581"/>
      <c r="O74" s="581"/>
      <c r="P74" s="582"/>
    </row>
    <row r="75" spans="1:16" x14ac:dyDescent="0.2">
      <c r="A75" s="583"/>
      <c r="B75" s="581"/>
      <c r="C75" s="581"/>
      <c r="D75" s="581"/>
      <c r="E75" s="156"/>
      <c r="F75" s="135"/>
      <c r="G75" s="135"/>
      <c r="H75" s="157"/>
      <c r="I75" s="160"/>
      <c r="J75" s="135"/>
      <c r="K75" s="135"/>
      <c r="L75" s="157"/>
      <c r="M75" s="581"/>
      <c r="N75" s="581"/>
      <c r="O75" s="581"/>
      <c r="P75" s="582"/>
    </row>
    <row r="76" spans="1:16" ht="13.5" thickBot="1" x14ac:dyDescent="0.25">
      <c r="A76" s="579"/>
      <c r="B76" s="580"/>
      <c r="C76" s="580"/>
      <c r="D76" s="580"/>
      <c r="E76" s="161"/>
      <c r="F76" s="162"/>
      <c r="G76" s="162"/>
      <c r="H76" s="163"/>
      <c r="I76" s="164"/>
      <c r="J76" s="162"/>
      <c r="K76" s="162"/>
      <c r="L76" s="163"/>
      <c r="M76" s="581"/>
      <c r="N76" s="581"/>
      <c r="O76" s="581"/>
      <c r="P76" s="582"/>
    </row>
    <row r="77" spans="1:16" ht="13.5" thickBot="1" x14ac:dyDescent="0.25">
      <c r="A77" s="583" t="s">
        <v>369</v>
      </c>
      <c r="B77" s="581"/>
      <c r="C77" s="581"/>
      <c r="D77" s="581"/>
      <c r="E77" s="165"/>
      <c r="F77" s="166"/>
      <c r="G77" s="167"/>
      <c r="H77" s="166"/>
      <c r="I77" s="165"/>
      <c r="J77" s="166"/>
      <c r="K77" s="166"/>
      <c r="L77" s="166"/>
      <c r="M77" s="584"/>
      <c r="N77" s="584"/>
      <c r="O77" s="584"/>
      <c r="P77" s="585"/>
    </row>
  </sheetData>
  <mergeCells count="145">
    <mergeCell ref="E8:P8"/>
    <mergeCell ref="E9:P9"/>
    <mergeCell ref="E10:P10"/>
    <mergeCell ref="A11:D11"/>
    <mergeCell ref="E11:P11"/>
    <mergeCell ref="A12:B12"/>
    <mergeCell ref="C12:D12"/>
    <mergeCell ref="E12:P12"/>
    <mergeCell ref="A2:P2"/>
    <mergeCell ref="E3:P3"/>
    <mergeCell ref="E4:P4"/>
    <mergeCell ref="E5:P5"/>
    <mergeCell ref="E6:P6"/>
    <mergeCell ref="E7:P7"/>
    <mergeCell ref="A16:D16"/>
    <mergeCell ref="M16:P16"/>
    <mergeCell ref="A17:D17"/>
    <mergeCell ref="M17:P17"/>
    <mergeCell ref="A18:D18"/>
    <mergeCell ref="M18:P18"/>
    <mergeCell ref="A13:B13"/>
    <mergeCell ref="C13:D13"/>
    <mergeCell ref="E13:P13"/>
    <mergeCell ref="E14:P14"/>
    <mergeCell ref="E15:H15"/>
    <mergeCell ref="I15:L15"/>
    <mergeCell ref="M15:P15"/>
    <mergeCell ref="A22:D22"/>
    <mergeCell ref="M22:P22"/>
    <mergeCell ref="A23:D23"/>
    <mergeCell ref="M23:P23"/>
    <mergeCell ref="A24:D24"/>
    <mergeCell ref="M24:P24"/>
    <mergeCell ref="A19:D19"/>
    <mergeCell ref="M19:P19"/>
    <mergeCell ref="A20:D20"/>
    <mergeCell ref="M20:P20"/>
    <mergeCell ref="A21:D21"/>
    <mergeCell ref="M21:P21"/>
    <mergeCell ref="A28:D28"/>
    <mergeCell ref="M28:P28"/>
    <mergeCell ref="A29:D29"/>
    <mergeCell ref="M29:P29"/>
    <mergeCell ref="A30:D30"/>
    <mergeCell ref="M30:P30"/>
    <mergeCell ref="A25:D25"/>
    <mergeCell ref="M25:P25"/>
    <mergeCell ref="A26:D26"/>
    <mergeCell ref="M26:P26"/>
    <mergeCell ref="A27:D27"/>
    <mergeCell ref="M27:P27"/>
    <mergeCell ref="A34:D34"/>
    <mergeCell ref="M34:P34"/>
    <mergeCell ref="A35:D35"/>
    <mergeCell ref="M35:P35"/>
    <mergeCell ref="A36:D36"/>
    <mergeCell ref="M36:P36"/>
    <mergeCell ref="A31:D31"/>
    <mergeCell ref="M31:P31"/>
    <mergeCell ref="A32:D32"/>
    <mergeCell ref="M32:P32"/>
    <mergeCell ref="A33:D33"/>
    <mergeCell ref="M33:P33"/>
    <mergeCell ref="A40:D40"/>
    <mergeCell ref="M40:P40"/>
    <mergeCell ref="A41:D41"/>
    <mergeCell ref="M41:P41"/>
    <mergeCell ref="A42:D42"/>
    <mergeCell ref="M42:P42"/>
    <mergeCell ref="A37:D37"/>
    <mergeCell ref="M37:P37"/>
    <mergeCell ref="A38:D38"/>
    <mergeCell ref="M38:P38"/>
    <mergeCell ref="A39:D39"/>
    <mergeCell ref="M39:P39"/>
    <mergeCell ref="A46:D46"/>
    <mergeCell ref="M46:P46"/>
    <mergeCell ref="A47:D47"/>
    <mergeCell ref="M47:P47"/>
    <mergeCell ref="A48:D48"/>
    <mergeCell ref="M48:P48"/>
    <mergeCell ref="A43:D43"/>
    <mergeCell ref="M43:P43"/>
    <mergeCell ref="A44:D44"/>
    <mergeCell ref="M44:P44"/>
    <mergeCell ref="A45:D45"/>
    <mergeCell ref="M45:P45"/>
    <mergeCell ref="A52:D52"/>
    <mergeCell ref="M52:P52"/>
    <mergeCell ref="A53:D53"/>
    <mergeCell ref="M53:P53"/>
    <mergeCell ref="A54:D54"/>
    <mergeCell ref="M54:P54"/>
    <mergeCell ref="A49:D49"/>
    <mergeCell ref="M49:P49"/>
    <mergeCell ref="A50:D50"/>
    <mergeCell ref="M50:P50"/>
    <mergeCell ref="A51:D51"/>
    <mergeCell ref="M51:P51"/>
    <mergeCell ref="A58:D58"/>
    <mergeCell ref="M58:P58"/>
    <mergeCell ref="A59:D59"/>
    <mergeCell ref="M59:P59"/>
    <mergeCell ref="A60:D60"/>
    <mergeCell ref="M60:P60"/>
    <mergeCell ref="A55:D55"/>
    <mergeCell ref="M55:P55"/>
    <mergeCell ref="A56:D56"/>
    <mergeCell ref="M56:P56"/>
    <mergeCell ref="A57:D57"/>
    <mergeCell ref="M57:P57"/>
    <mergeCell ref="A64:D64"/>
    <mergeCell ref="M64:P64"/>
    <mergeCell ref="A65:D65"/>
    <mergeCell ref="M65:P65"/>
    <mergeCell ref="A66:D66"/>
    <mergeCell ref="M66:P66"/>
    <mergeCell ref="A61:D61"/>
    <mergeCell ref="M61:P61"/>
    <mergeCell ref="A62:D62"/>
    <mergeCell ref="M62:P62"/>
    <mergeCell ref="A63:D63"/>
    <mergeCell ref="M63:P63"/>
    <mergeCell ref="A70:D70"/>
    <mergeCell ref="M70:P70"/>
    <mergeCell ref="A71:D71"/>
    <mergeCell ref="M71:P71"/>
    <mergeCell ref="A72:D72"/>
    <mergeCell ref="M72:P72"/>
    <mergeCell ref="A67:D67"/>
    <mergeCell ref="M67:P67"/>
    <mergeCell ref="A68:D68"/>
    <mergeCell ref="M68:P68"/>
    <mergeCell ref="A69:D69"/>
    <mergeCell ref="M69:P69"/>
    <mergeCell ref="A76:D76"/>
    <mergeCell ref="M76:P76"/>
    <mergeCell ref="A77:D77"/>
    <mergeCell ref="M77:P77"/>
    <mergeCell ref="A73:D73"/>
    <mergeCell ref="M73:P73"/>
    <mergeCell ref="A74:D74"/>
    <mergeCell ref="M74:P74"/>
    <mergeCell ref="A75:D75"/>
    <mergeCell ref="M75:P75"/>
  </mergeCells>
  <pageMargins left="0.48" right="0.11" top="0.12" bottom="0.11" header="0" footer="0"/>
  <pageSetup scale="77" orientation="portrait" horizontalDpi="0" verticalDpi="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37"/>
  <sheetViews>
    <sheetView workbookViewId="0">
      <selection activeCell="N29" sqref="N29"/>
    </sheetView>
  </sheetViews>
  <sheetFormatPr baseColWidth="10" defaultColWidth="11.42578125" defaultRowHeight="12.75" x14ac:dyDescent="0.2"/>
  <cols>
    <col min="1" max="16384" width="11.42578125" style="134"/>
  </cols>
  <sheetData>
    <row r="1" spans="1:12" x14ac:dyDescent="0.2">
      <c r="A1" s="139"/>
      <c r="B1" s="139"/>
      <c r="C1" s="139"/>
      <c r="D1" s="139"/>
      <c r="E1" s="139"/>
      <c r="F1" s="139"/>
      <c r="G1" s="139"/>
      <c r="H1" s="139"/>
      <c r="I1" s="139"/>
      <c r="J1" s="139"/>
      <c r="K1" s="139"/>
      <c r="L1" s="139"/>
    </row>
    <row r="2" spans="1:12" ht="20.25" x14ac:dyDescent="0.3">
      <c r="A2" s="139"/>
      <c r="B2" s="139"/>
      <c r="C2" s="139"/>
      <c r="E2" s="168" t="s">
        <v>389</v>
      </c>
      <c r="G2" s="169"/>
      <c r="H2" s="139"/>
      <c r="I2" s="139"/>
      <c r="J2" s="139"/>
      <c r="K2" s="139"/>
      <c r="L2" s="139"/>
    </row>
    <row r="3" spans="1:12" x14ac:dyDescent="0.2">
      <c r="A3" s="139"/>
      <c r="B3" s="139"/>
      <c r="C3" s="139"/>
      <c r="D3" s="139"/>
      <c r="E3" s="139"/>
      <c r="F3" s="139"/>
      <c r="G3" s="139"/>
      <c r="H3" s="139"/>
      <c r="I3" s="139"/>
      <c r="J3" s="139"/>
      <c r="K3" s="139"/>
      <c r="L3" s="139"/>
    </row>
    <row r="4" spans="1:12" x14ac:dyDescent="0.2">
      <c r="A4" s="139"/>
      <c r="B4" s="139"/>
      <c r="C4" s="139"/>
      <c r="D4" s="139"/>
      <c r="E4" s="139"/>
      <c r="F4" s="139"/>
      <c r="G4" s="139"/>
      <c r="H4" s="139"/>
      <c r="I4" s="139"/>
      <c r="J4" s="139"/>
      <c r="K4" s="139"/>
      <c r="L4" s="139"/>
    </row>
    <row r="5" spans="1:12" x14ac:dyDescent="0.2">
      <c r="A5" s="139"/>
      <c r="B5" s="139"/>
      <c r="C5" s="139"/>
      <c r="D5" s="139"/>
      <c r="E5" s="139"/>
      <c r="F5" s="139"/>
      <c r="G5" s="139"/>
      <c r="H5" s="139"/>
      <c r="I5" s="139"/>
      <c r="J5" s="139"/>
      <c r="K5" s="139"/>
      <c r="L5" s="139"/>
    </row>
    <row r="6" spans="1:12" x14ac:dyDescent="0.2">
      <c r="A6" s="139"/>
      <c r="B6" s="139"/>
      <c r="C6" s="139"/>
      <c r="D6" s="139"/>
      <c r="E6" s="139"/>
      <c r="F6" s="139"/>
      <c r="G6" s="139"/>
      <c r="H6" s="139"/>
      <c r="I6" s="139"/>
      <c r="J6" s="139"/>
      <c r="K6" s="139"/>
      <c r="L6" s="139"/>
    </row>
    <row r="7" spans="1:12" x14ac:dyDescent="0.2">
      <c r="A7" s="139"/>
      <c r="B7" s="139"/>
      <c r="C7" s="139"/>
      <c r="D7" s="139"/>
      <c r="E7" s="139"/>
      <c r="F7" s="139"/>
      <c r="G7" s="139"/>
      <c r="H7" s="139"/>
      <c r="I7" s="139"/>
      <c r="J7" s="139"/>
      <c r="K7" s="139"/>
      <c r="L7" s="139"/>
    </row>
    <row r="8" spans="1:12" x14ac:dyDescent="0.2">
      <c r="A8" s="139"/>
      <c r="B8" s="139"/>
      <c r="C8" s="139"/>
      <c r="D8" s="139"/>
      <c r="E8" s="139"/>
      <c r="F8" s="139"/>
      <c r="G8" s="139"/>
      <c r="H8" s="139"/>
      <c r="I8" s="139"/>
      <c r="J8" s="139"/>
      <c r="K8" s="139"/>
      <c r="L8" s="139"/>
    </row>
    <row r="9" spans="1:12" x14ac:dyDescent="0.2">
      <c r="A9" s="139"/>
      <c r="B9" s="139"/>
      <c r="C9" s="139"/>
      <c r="D9" s="139"/>
      <c r="E9" s="139"/>
      <c r="F9" s="139"/>
      <c r="G9" s="139"/>
      <c r="H9" s="139"/>
      <c r="I9" s="139"/>
      <c r="J9" s="139"/>
      <c r="K9" s="139"/>
      <c r="L9" s="139"/>
    </row>
    <row r="10" spans="1:12" x14ac:dyDescent="0.2">
      <c r="A10" s="139"/>
      <c r="B10" s="139"/>
      <c r="C10" s="139"/>
      <c r="D10" s="139"/>
      <c r="E10" s="139"/>
      <c r="F10" s="139"/>
      <c r="G10" s="139"/>
      <c r="H10" s="139"/>
      <c r="I10" s="139"/>
      <c r="J10" s="139"/>
      <c r="K10" s="139"/>
      <c r="L10" s="139"/>
    </row>
    <row r="11" spans="1:12" x14ac:dyDescent="0.2">
      <c r="A11" s="139"/>
      <c r="B11" s="139"/>
      <c r="C11" s="139"/>
      <c r="D11" s="139"/>
      <c r="E11" s="139"/>
      <c r="F11" s="139"/>
      <c r="G11" s="139"/>
      <c r="H11" s="139"/>
      <c r="I11" s="139"/>
      <c r="J11" s="139"/>
      <c r="K11" s="139"/>
      <c r="L11" s="139"/>
    </row>
    <row r="12" spans="1:12" x14ac:dyDescent="0.2">
      <c r="A12" s="139"/>
      <c r="B12" s="139"/>
      <c r="C12" s="139"/>
      <c r="D12" s="139"/>
      <c r="E12" s="139"/>
      <c r="F12" s="139"/>
      <c r="G12" s="139"/>
      <c r="H12" s="139"/>
      <c r="I12" s="139"/>
      <c r="J12" s="139"/>
      <c r="K12" s="139"/>
      <c r="L12" s="139"/>
    </row>
    <row r="13" spans="1:12" x14ac:dyDescent="0.2">
      <c r="A13" s="139"/>
      <c r="B13" s="139"/>
      <c r="C13" s="139"/>
      <c r="D13" s="139"/>
      <c r="E13" s="139"/>
      <c r="F13" s="139"/>
      <c r="G13" s="139"/>
      <c r="H13" s="139"/>
      <c r="I13" s="139"/>
      <c r="J13" s="139"/>
      <c r="K13" s="139"/>
      <c r="L13" s="139"/>
    </row>
    <row r="14" spans="1:12" x14ac:dyDescent="0.2">
      <c r="A14" s="139"/>
      <c r="B14" s="139"/>
      <c r="C14" s="139"/>
      <c r="D14" s="139"/>
      <c r="E14" s="139"/>
      <c r="F14" s="139"/>
      <c r="G14" s="139"/>
      <c r="H14" s="139"/>
      <c r="I14" s="139"/>
      <c r="J14" s="139"/>
      <c r="K14" s="139"/>
      <c r="L14" s="139"/>
    </row>
    <row r="15" spans="1:12" x14ac:dyDescent="0.2">
      <c r="A15" s="139"/>
      <c r="B15" s="139"/>
      <c r="C15" s="139"/>
      <c r="D15" s="139"/>
      <c r="E15" s="139"/>
      <c r="F15" s="139"/>
      <c r="G15" s="139"/>
      <c r="H15" s="139"/>
      <c r="I15" s="139"/>
      <c r="J15" s="139"/>
      <c r="K15" s="139"/>
      <c r="L15" s="139"/>
    </row>
    <row r="16" spans="1:12" x14ac:dyDescent="0.2">
      <c r="A16" s="139"/>
      <c r="B16" s="139"/>
      <c r="C16" s="139"/>
      <c r="D16" s="139"/>
      <c r="E16" s="139"/>
      <c r="F16" s="139"/>
      <c r="G16" s="139"/>
      <c r="H16" s="139"/>
      <c r="I16" s="139"/>
      <c r="J16" s="139"/>
      <c r="K16" s="139"/>
      <c r="L16" s="139"/>
    </row>
    <row r="17" spans="1:12" x14ac:dyDescent="0.2">
      <c r="A17" s="139"/>
      <c r="B17" s="139"/>
      <c r="C17" s="139"/>
      <c r="D17" s="139"/>
      <c r="E17" s="139"/>
      <c r="F17" s="139"/>
      <c r="G17" s="139"/>
      <c r="H17" s="139"/>
      <c r="I17" s="139"/>
      <c r="J17" s="139"/>
      <c r="K17" s="139"/>
      <c r="L17" s="139"/>
    </row>
    <row r="18" spans="1:12" x14ac:dyDescent="0.2">
      <c r="A18" s="139"/>
      <c r="B18" s="139"/>
      <c r="C18" s="139"/>
      <c r="D18" s="139"/>
      <c r="E18" s="139"/>
      <c r="F18" s="139"/>
      <c r="G18" s="139"/>
      <c r="H18" s="139"/>
      <c r="I18" s="139"/>
      <c r="J18" s="139"/>
      <c r="K18" s="139"/>
      <c r="L18" s="139"/>
    </row>
    <row r="19" spans="1:12" x14ac:dyDescent="0.2">
      <c r="A19" s="139"/>
      <c r="B19" s="139"/>
      <c r="C19" s="139"/>
      <c r="D19" s="139"/>
      <c r="E19" s="139"/>
      <c r="F19" s="139"/>
      <c r="G19" s="139"/>
      <c r="H19" s="139"/>
      <c r="I19" s="139"/>
      <c r="J19" s="139"/>
      <c r="K19" s="139"/>
      <c r="L19" s="139"/>
    </row>
    <row r="20" spans="1:12" x14ac:dyDescent="0.2">
      <c r="A20" s="139"/>
      <c r="B20" s="139"/>
      <c r="C20" s="139"/>
      <c r="D20" s="139"/>
      <c r="E20" s="139"/>
      <c r="F20" s="139"/>
      <c r="G20" s="139"/>
      <c r="H20" s="139"/>
      <c r="I20" s="139"/>
      <c r="J20" s="139"/>
      <c r="K20" s="139"/>
      <c r="L20" s="139"/>
    </row>
    <row r="21" spans="1:12" x14ac:dyDescent="0.2">
      <c r="A21" s="139"/>
      <c r="B21" s="139"/>
      <c r="C21" s="139"/>
      <c r="D21" s="139"/>
      <c r="E21" s="139"/>
      <c r="F21" s="139"/>
      <c r="G21" s="139"/>
      <c r="H21" s="139"/>
      <c r="I21" s="139"/>
      <c r="J21" s="139"/>
      <c r="K21" s="139"/>
      <c r="L21" s="139"/>
    </row>
    <row r="22" spans="1:12" x14ac:dyDescent="0.2">
      <c r="A22" s="139"/>
      <c r="B22" s="139"/>
      <c r="C22" s="139"/>
      <c r="D22" s="139"/>
      <c r="E22" s="139"/>
      <c r="F22" s="139"/>
      <c r="G22" s="139"/>
      <c r="H22" s="139"/>
      <c r="I22" s="139"/>
      <c r="J22" s="139"/>
      <c r="K22" s="139"/>
      <c r="L22" s="139"/>
    </row>
    <row r="23" spans="1:12" x14ac:dyDescent="0.2">
      <c r="A23" s="139"/>
      <c r="B23" s="139"/>
      <c r="C23" s="139"/>
      <c r="D23" s="139"/>
      <c r="E23" s="139"/>
      <c r="F23" s="139"/>
      <c r="G23" s="139"/>
      <c r="H23" s="139"/>
      <c r="I23" s="139"/>
      <c r="J23" s="139"/>
      <c r="K23" s="139"/>
      <c r="L23" s="139"/>
    </row>
    <row r="24" spans="1:12" x14ac:dyDescent="0.2">
      <c r="A24" s="139"/>
      <c r="B24" s="139"/>
      <c r="C24" s="139"/>
      <c r="D24" s="139"/>
      <c r="E24" s="139"/>
      <c r="F24" s="139"/>
      <c r="G24" s="139"/>
      <c r="H24" s="139"/>
      <c r="I24" s="139"/>
      <c r="J24" s="139"/>
      <c r="K24" s="139"/>
      <c r="L24" s="139"/>
    </row>
    <row r="25" spans="1:12" x14ac:dyDescent="0.2">
      <c r="A25" s="139"/>
      <c r="B25" s="139"/>
      <c r="C25" s="139"/>
      <c r="D25" s="139"/>
      <c r="E25" s="139"/>
      <c r="F25" s="139"/>
      <c r="G25" s="139"/>
      <c r="H25" s="139"/>
      <c r="I25" s="139"/>
      <c r="J25" s="139"/>
      <c r="K25" s="139"/>
      <c r="L25" s="139"/>
    </row>
    <row r="26" spans="1:12" x14ac:dyDescent="0.2">
      <c r="A26" s="139"/>
      <c r="B26" s="139"/>
      <c r="C26" s="139"/>
      <c r="D26" s="139"/>
      <c r="E26" s="139"/>
      <c r="F26" s="139"/>
      <c r="G26" s="139"/>
      <c r="H26" s="139"/>
      <c r="I26" s="139"/>
      <c r="J26" s="139"/>
      <c r="K26" s="139"/>
      <c r="L26" s="139"/>
    </row>
    <row r="27" spans="1:12" x14ac:dyDescent="0.2">
      <c r="A27" s="139"/>
      <c r="B27" s="139"/>
      <c r="C27" s="139"/>
      <c r="D27" s="139"/>
      <c r="E27" s="139"/>
      <c r="F27" s="139"/>
      <c r="G27" s="139"/>
      <c r="H27" s="139"/>
      <c r="I27" s="139"/>
      <c r="J27" s="139"/>
      <c r="K27" s="139"/>
      <c r="L27" s="139"/>
    </row>
    <row r="28" spans="1:12" x14ac:dyDescent="0.2">
      <c r="A28" s="139"/>
      <c r="B28" s="139"/>
      <c r="C28" s="139"/>
      <c r="D28" s="139"/>
      <c r="E28" s="139"/>
      <c r="F28" s="139"/>
      <c r="G28" s="139"/>
      <c r="H28" s="139"/>
      <c r="I28" s="139"/>
      <c r="J28" s="139"/>
      <c r="K28" s="139"/>
      <c r="L28" s="139"/>
    </row>
    <row r="29" spans="1:12" x14ac:dyDescent="0.2">
      <c r="A29" s="139"/>
      <c r="B29" s="139"/>
      <c r="C29" s="139"/>
      <c r="D29" s="139"/>
      <c r="E29" s="139"/>
      <c r="F29" s="139"/>
      <c r="G29" s="139"/>
      <c r="H29" s="139"/>
      <c r="I29" s="139"/>
      <c r="J29" s="139"/>
      <c r="K29" s="139"/>
      <c r="L29" s="139"/>
    </row>
    <row r="30" spans="1:12" x14ac:dyDescent="0.2">
      <c r="A30" s="139"/>
      <c r="B30" s="139"/>
      <c r="C30" s="139"/>
      <c r="D30" s="139"/>
      <c r="E30" s="139"/>
      <c r="F30" s="139"/>
      <c r="G30" s="139"/>
      <c r="H30" s="139"/>
      <c r="I30" s="139"/>
      <c r="J30" s="139"/>
      <c r="K30" s="139"/>
      <c r="L30" s="139"/>
    </row>
    <row r="31" spans="1:12" x14ac:dyDescent="0.2">
      <c r="A31" s="139"/>
      <c r="B31" s="139"/>
      <c r="C31" s="139"/>
      <c r="D31" s="139"/>
      <c r="E31" s="139"/>
      <c r="F31" s="139"/>
      <c r="G31" s="139"/>
      <c r="H31" s="139"/>
      <c r="I31" s="139"/>
      <c r="J31" s="139"/>
      <c r="K31" s="139"/>
      <c r="L31" s="139"/>
    </row>
    <row r="32" spans="1:12" x14ac:dyDescent="0.2">
      <c r="A32" s="139"/>
      <c r="B32" s="139"/>
      <c r="C32" s="139"/>
      <c r="D32" s="139"/>
      <c r="E32" s="139"/>
      <c r="F32" s="139"/>
      <c r="G32" s="139"/>
      <c r="H32" s="139"/>
      <c r="I32" s="139"/>
      <c r="J32" s="139"/>
      <c r="K32" s="139"/>
      <c r="L32" s="139"/>
    </row>
    <row r="33" spans="1:12" x14ac:dyDescent="0.2">
      <c r="A33" s="139"/>
      <c r="B33" s="139"/>
      <c r="C33" s="139"/>
      <c r="D33" s="139"/>
      <c r="E33" s="139"/>
      <c r="F33" s="139"/>
      <c r="G33" s="139"/>
      <c r="H33" s="139"/>
      <c r="I33" s="139"/>
      <c r="J33" s="139"/>
      <c r="K33" s="139"/>
      <c r="L33" s="139"/>
    </row>
    <row r="34" spans="1:12" x14ac:dyDescent="0.2">
      <c r="A34" s="139"/>
      <c r="B34" s="139"/>
      <c r="C34" s="139"/>
      <c r="D34" s="139"/>
      <c r="E34" s="139"/>
      <c r="F34" s="139"/>
      <c r="G34" s="139"/>
      <c r="H34" s="139"/>
      <c r="I34" s="139"/>
      <c r="J34" s="139"/>
      <c r="K34" s="139"/>
      <c r="L34" s="139"/>
    </row>
    <row r="35" spans="1:12" x14ac:dyDescent="0.2">
      <c r="A35" s="139"/>
      <c r="B35" s="139"/>
      <c r="C35" s="139"/>
      <c r="D35" s="139"/>
      <c r="E35" s="139"/>
      <c r="F35" s="139"/>
      <c r="G35" s="139"/>
      <c r="H35" s="139"/>
      <c r="I35" s="139"/>
      <c r="J35" s="139"/>
      <c r="K35" s="139"/>
      <c r="L35" s="139"/>
    </row>
    <row r="36" spans="1:12" x14ac:dyDescent="0.2">
      <c r="A36" s="139"/>
      <c r="B36" s="139"/>
      <c r="C36" s="139"/>
      <c r="D36" s="139"/>
      <c r="E36" s="139"/>
      <c r="F36" s="139"/>
      <c r="G36" s="139"/>
      <c r="H36" s="139"/>
      <c r="I36" s="139"/>
      <c r="J36" s="139"/>
      <c r="K36" s="139"/>
      <c r="L36" s="139"/>
    </row>
    <row r="37" spans="1:12" x14ac:dyDescent="0.2">
      <c r="K37" s="139"/>
      <c r="L37" s="139"/>
    </row>
  </sheetData>
  <pageMargins left="0.12" right="0.19" top="0.7" bottom="1" header="0" footer="0"/>
  <pageSetup orientation="landscape" horizontalDpi="0" verticalDpi="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0"/>
  <sheetViews>
    <sheetView workbookViewId="0">
      <selection activeCell="D10" sqref="D10"/>
    </sheetView>
  </sheetViews>
  <sheetFormatPr baseColWidth="10" defaultColWidth="10.7109375" defaultRowHeight="15" x14ac:dyDescent="0.25"/>
  <cols>
    <col min="2" max="2" width="16.28515625" customWidth="1"/>
    <col min="4" max="4" width="22.42578125" customWidth="1"/>
    <col min="5" max="5" width="20.7109375" customWidth="1"/>
  </cols>
  <sheetData>
    <row r="1" spans="1:17" ht="26.25" x14ac:dyDescent="0.4">
      <c r="A1" s="605" t="s">
        <v>794</v>
      </c>
      <c r="B1" s="605"/>
      <c r="C1" s="605"/>
      <c r="D1" s="605"/>
      <c r="E1" s="605"/>
      <c r="F1" s="605"/>
      <c r="G1" s="605"/>
      <c r="H1" s="605"/>
      <c r="I1" s="605"/>
      <c r="J1" s="605"/>
      <c r="K1" s="605"/>
      <c r="L1" s="605"/>
      <c r="M1" s="605"/>
      <c r="N1" s="605"/>
      <c r="O1" s="605"/>
      <c r="P1" s="605"/>
      <c r="Q1" s="605"/>
    </row>
    <row r="3" spans="1:17" x14ac:dyDescent="0.25">
      <c r="A3" s="606" t="s">
        <v>390</v>
      </c>
      <c r="B3" s="606"/>
      <c r="C3" s="606"/>
      <c r="D3" s="606"/>
      <c r="E3" s="606"/>
      <c r="F3" s="606"/>
      <c r="G3" s="606"/>
      <c r="H3" s="606"/>
      <c r="I3" s="606"/>
      <c r="J3" s="606"/>
      <c r="K3" s="606"/>
      <c r="L3" s="606"/>
      <c r="M3" s="606"/>
      <c r="N3" s="606"/>
      <c r="O3" s="606"/>
      <c r="P3" s="606"/>
      <c r="Q3" s="606"/>
    </row>
    <row r="5" spans="1:17" x14ac:dyDescent="0.25">
      <c r="B5" t="s">
        <v>391</v>
      </c>
      <c r="D5" t="s">
        <v>850</v>
      </c>
      <c r="I5" t="s">
        <v>392</v>
      </c>
    </row>
    <row r="6" spans="1:17" x14ac:dyDescent="0.25">
      <c r="I6" t="s">
        <v>849</v>
      </c>
    </row>
    <row r="7" spans="1:17" x14ac:dyDescent="0.25">
      <c r="B7" t="s">
        <v>795</v>
      </c>
      <c r="D7" s="170">
        <v>2538000</v>
      </c>
      <c r="E7" s="406">
        <f>D7/D8</f>
        <v>846</v>
      </c>
      <c r="F7" t="s">
        <v>848</v>
      </c>
    </row>
    <row r="8" spans="1:17" x14ac:dyDescent="0.25">
      <c r="D8">
        <v>3000</v>
      </c>
    </row>
    <row r="10" spans="1:17" x14ac:dyDescent="0.25">
      <c r="D10" s="172"/>
    </row>
    <row r="14" spans="1:17" x14ac:dyDescent="0.25">
      <c r="B14" s="55" t="s">
        <v>393</v>
      </c>
      <c r="C14" s="55" t="s">
        <v>394</v>
      </c>
      <c r="D14" s="55" t="s">
        <v>395</v>
      </c>
      <c r="E14" s="55" t="s">
        <v>396</v>
      </c>
    </row>
    <row r="15" spans="1:17" x14ac:dyDescent="0.25">
      <c r="B15" s="53" t="s">
        <v>397</v>
      </c>
      <c r="C15" s="53">
        <v>800</v>
      </c>
      <c r="D15" s="173">
        <f>E15</f>
        <v>0.26666666666666666</v>
      </c>
      <c r="E15" s="173">
        <f>C15/C20</f>
        <v>0.26666666666666666</v>
      </c>
    </row>
    <row r="16" spans="1:17" x14ac:dyDescent="0.25">
      <c r="B16" s="53" t="s">
        <v>398</v>
      </c>
      <c r="C16" s="53">
        <v>750</v>
      </c>
      <c r="D16" s="174">
        <f>E15+E16</f>
        <v>0.51666666666666661</v>
      </c>
      <c r="E16" s="173">
        <f>C16/C20</f>
        <v>0.25</v>
      </c>
    </row>
    <row r="17" spans="2:5" x14ac:dyDescent="0.25">
      <c r="B17" s="53" t="s">
        <v>399</v>
      </c>
      <c r="C17" s="53">
        <v>600</v>
      </c>
      <c r="D17" s="174">
        <f>D16+E17</f>
        <v>0.71666666666666656</v>
      </c>
      <c r="E17" s="173">
        <f>C17/C20</f>
        <v>0.2</v>
      </c>
    </row>
    <row r="18" spans="2:5" x14ac:dyDescent="0.25">
      <c r="B18" s="53" t="s">
        <v>400</v>
      </c>
      <c r="C18" s="53">
        <v>500</v>
      </c>
      <c r="D18" s="174">
        <f>D17+E18</f>
        <v>0.88333333333333319</v>
      </c>
      <c r="E18" s="173">
        <f>C18/C20</f>
        <v>0.16666666666666666</v>
      </c>
    </row>
    <row r="19" spans="2:5" x14ac:dyDescent="0.25">
      <c r="B19" s="53" t="s">
        <v>401</v>
      </c>
      <c r="C19" s="53">
        <v>350</v>
      </c>
      <c r="D19" s="174">
        <f>D18+E19</f>
        <v>0.99999999999999989</v>
      </c>
      <c r="E19" s="173">
        <f>C19/C20</f>
        <v>0.11666666666666667</v>
      </c>
    </row>
    <row r="20" spans="2:5" x14ac:dyDescent="0.25">
      <c r="B20" s="53"/>
      <c r="C20" s="53">
        <f>SUM(C15:C19)</f>
        <v>3000</v>
      </c>
      <c r="D20" s="53"/>
      <c r="E20" s="174">
        <f>SUM(E15:E19)</f>
        <v>0.99999999999999989</v>
      </c>
    </row>
  </sheetData>
  <mergeCells count="2">
    <mergeCell ref="A1:Q1"/>
    <mergeCell ref="A3:Q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W33"/>
  <sheetViews>
    <sheetView workbookViewId="0">
      <selection activeCell="S24" sqref="S24"/>
    </sheetView>
  </sheetViews>
  <sheetFormatPr baseColWidth="10" defaultColWidth="11.42578125" defaultRowHeight="15" x14ac:dyDescent="0.25"/>
  <cols>
    <col min="1" max="1" width="11.42578125" style="175"/>
    <col min="2" max="2" width="12.5703125" style="175" bestFit="1" customWidth="1"/>
    <col min="3" max="16384" width="11.42578125" style="175"/>
  </cols>
  <sheetData>
    <row r="2" spans="2:23" x14ac:dyDescent="0.25">
      <c r="B2" s="608" t="s">
        <v>402</v>
      </c>
      <c r="C2" s="608"/>
      <c r="D2" s="608"/>
      <c r="E2" s="608"/>
      <c r="F2" s="608"/>
      <c r="G2" s="608"/>
      <c r="H2" s="608"/>
      <c r="I2" s="608"/>
      <c r="J2" s="608"/>
      <c r="K2" s="608"/>
      <c r="L2" s="608"/>
      <c r="M2" s="608"/>
      <c r="N2" s="608"/>
      <c r="O2" s="608"/>
      <c r="P2" s="608"/>
      <c r="Q2" s="608"/>
      <c r="R2" s="608"/>
      <c r="S2" s="608"/>
      <c r="T2" s="608"/>
      <c r="U2" s="608"/>
      <c r="V2" s="608"/>
    </row>
    <row r="3" spans="2:23" x14ac:dyDescent="0.25">
      <c r="B3" s="608"/>
      <c r="C3" s="608"/>
      <c r="D3" s="608"/>
      <c r="E3" s="608"/>
      <c r="F3" s="608"/>
      <c r="G3" s="608"/>
      <c r="H3" s="608"/>
      <c r="I3" s="608"/>
      <c r="J3" s="608"/>
      <c r="K3" s="608"/>
      <c r="L3" s="608"/>
      <c r="M3" s="608"/>
      <c r="N3" s="608"/>
      <c r="O3" s="608"/>
      <c r="P3" s="608"/>
      <c r="Q3" s="608"/>
      <c r="R3" s="608"/>
      <c r="S3" s="608"/>
      <c r="T3" s="608"/>
      <c r="U3" s="608"/>
      <c r="V3" s="608"/>
    </row>
    <row r="5" spans="2:23" ht="15.75" thickBot="1" x14ac:dyDescent="0.3">
      <c r="B5" s="175" t="s">
        <v>403</v>
      </c>
      <c r="C5" s="175">
        <v>10</v>
      </c>
      <c r="D5" s="175">
        <v>20</v>
      </c>
      <c r="E5" s="175">
        <v>30</v>
      </c>
      <c r="F5" s="175">
        <v>40</v>
      </c>
      <c r="G5" s="175">
        <v>50</v>
      </c>
      <c r="H5" s="175">
        <v>60</v>
      </c>
      <c r="I5" s="175">
        <v>70</v>
      </c>
      <c r="J5" s="176">
        <v>80</v>
      </c>
      <c r="K5" s="175">
        <v>90</v>
      </c>
      <c r="L5" s="175">
        <v>100</v>
      </c>
      <c r="M5" s="175">
        <v>110</v>
      </c>
      <c r="N5" s="175">
        <v>120</v>
      </c>
      <c r="O5" s="175">
        <v>130</v>
      </c>
      <c r="P5" s="175">
        <v>140</v>
      </c>
      <c r="Q5" s="175">
        <v>150</v>
      </c>
      <c r="R5" s="175">
        <v>160</v>
      </c>
      <c r="S5" s="175">
        <v>170</v>
      </c>
      <c r="T5" s="175">
        <v>180</v>
      </c>
      <c r="U5" s="175">
        <v>190</v>
      </c>
      <c r="V5" s="175">
        <v>200</v>
      </c>
    </row>
    <row r="6" spans="2:23" ht="30.75" customHeight="1" thickTop="1" thickBot="1" x14ac:dyDescent="0.3">
      <c r="B6" s="175" t="s">
        <v>404</v>
      </c>
      <c r="C6" s="177" t="s">
        <v>405</v>
      </c>
      <c r="D6" s="177" t="s">
        <v>406</v>
      </c>
      <c r="E6" s="177" t="s">
        <v>407</v>
      </c>
      <c r="F6" s="177" t="s">
        <v>408</v>
      </c>
      <c r="G6" s="177" t="s">
        <v>409</v>
      </c>
      <c r="H6" s="177" t="s">
        <v>410</v>
      </c>
      <c r="I6" s="177" t="s">
        <v>411</v>
      </c>
      <c r="J6" s="175" t="s">
        <v>412</v>
      </c>
      <c r="K6" s="177" t="s">
        <v>413</v>
      </c>
      <c r="L6" s="177" t="s">
        <v>414</v>
      </c>
      <c r="M6" s="609" t="s">
        <v>415</v>
      </c>
      <c r="N6" s="610"/>
      <c r="O6" s="610"/>
      <c r="P6" s="610"/>
      <c r="Q6" s="610"/>
      <c r="R6" s="610"/>
      <c r="S6" s="610"/>
      <c r="T6" s="610"/>
      <c r="U6" s="610"/>
      <c r="V6" s="611"/>
      <c r="W6" s="178"/>
    </row>
    <row r="7" spans="2:23" ht="15.75" thickTop="1" x14ac:dyDescent="0.25">
      <c r="C7" s="179"/>
      <c r="D7" s="179"/>
      <c r="H7" s="179"/>
      <c r="I7" s="179"/>
      <c r="J7" s="179"/>
    </row>
    <row r="8" spans="2:23" ht="16.5" thickBot="1" x14ac:dyDescent="0.3">
      <c r="N8" s="180" t="s">
        <v>416</v>
      </c>
    </row>
    <row r="9" spans="2:23" ht="16.5" thickTop="1" thickBot="1" x14ac:dyDescent="0.3">
      <c r="C9" s="612" t="s">
        <v>417</v>
      </c>
      <c r="D9" s="613"/>
      <c r="E9" s="613"/>
      <c r="F9" s="613"/>
      <c r="G9" s="613"/>
      <c r="H9" s="613"/>
      <c r="I9" s="613"/>
      <c r="J9" s="613"/>
      <c r="K9" s="613"/>
      <c r="L9" s="614"/>
      <c r="M9" s="178"/>
    </row>
    <row r="10" spans="2:23" ht="16.5" thickTop="1" thickBot="1" x14ac:dyDescent="0.3"/>
    <row r="11" spans="2:23" ht="33.75" customHeight="1" thickTop="1" thickBot="1" x14ac:dyDescent="0.3">
      <c r="B11" s="175" t="s">
        <v>418</v>
      </c>
      <c r="C11" s="615" t="s">
        <v>419</v>
      </c>
      <c r="D11" s="616"/>
      <c r="E11" s="616"/>
      <c r="F11" s="616"/>
      <c r="G11" s="616"/>
      <c r="H11" s="616"/>
      <c r="I11" s="616"/>
      <c r="J11" s="616"/>
      <c r="K11" s="616"/>
      <c r="L11" s="617"/>
      <c r="M11" s="177" t="s">
        <v>405</v>
      </c>
      <c r="N11" s="177" t="s">
        <v>406</v>
      </c>
      <c r="O11" s="177" t="s">
        <v>407</v>
      </c>
      <c r="P11" s="177" t="s">
        <v>408</v>
      </c>
      <c r="Q11" s="177" t="s">
        <v>409</v>
      </c>
      <c r="R11" s="177" t="s">
        <v>410</v>
      </c>
      <c r="S11" s="177" t="s">
        <v>411</v>
      </c>
      <c r="T11" s="177" t="s">
        <v>412</v>
      </c>
      <c r="U11" s="177" t="s">
        <v>413</v>
      </c>
      <c r="V11" s="177" t="s">
        <v>414</v>
      </c>
    </row>
    <row r="12" spans="2:23" ht="15.75" thickTop="1" x14ac:dyDescent="0.25">
      <c r="B12" s="175" t="s">
        <v>403</v>
      </c>
      <c r="C12" s="175">
        <v>10</v>
      </c>
      <c r="D12" s="175">
        <v>20</v>
      </c>
      <c r="E12" s="175">
        <v>30</v>
      </c>
      <c r="F12" s="175">
        <v>40</v>
      </c>
      <c r="G12" s="175">
        <v>50</v>
      </c>
      <c r="H12" s="175">
        <v>60</v>
      </c>
      <c r="I12" s="175">
        <v>70</v>
      </c>
      <c r="J12" s="175">
        <v>80</v>
      </c>
      <c r="K12" s="175">
        <v>90</v>
      </c>
      <c r="L12" s="175">
        <v>100</v>
      </c>
      <c r="M12" s="175">
        <v>110</v>
      </c>
      <c r="N12" s="175">
        <v>120</v>
      </c>
      <c r="O12" s="175">
        <v>130</v>
      </c>
      <c r="P12" s="175">
        <v>140</v>
      </c>
      <c r="Q12" s="175">
        <v>150</v>
      </c>
      <c r="R12" s="175">
        <v>160</v>
      </c>
      <c r="S12" s="175">
        <v>170</v>
      </c>
      <c r="T12" s="175">
        <v>180</v>
      </c>
      <c r="U12" s="175">
        <v>190</v>
      </c>
      <c r="V12" s="175">
        <v>200</v>
      </c>
    </row>
    <row r="14" spans="2:23" ht="15.75" x14ac:dyDescent="0.25">
      <c r="R14" s="181" t="s">
        <v>420</v>
      </c>
    </row>
    <row r="15" spans="2:23" ht="15.75" x14ac:dyDescent="0.25">
      <c r="R15" s="182" t="s">
        <v>421</v>
      </c>
    </row>
    <row r="17" spans="2:22" x14ac:dyDescent="0.25">
      <c r="B17" s="608" t="s">
        <v>422</v>
      </c>
      <c r="C17" s="608"/>
      <c r="D17" s="608"/>
      <c r="E17" s="608"/>
      <c r="F17" s="608"/>
      <c r="G17" s="608"/>
      <c r="H17" s="608"/>
      <c r="I17" s="608"/>
      <c r="J17" s="608"/>
      <c r="K17" s="608"/>
      <c r="L17" s="608"/>
      <c r="M17" s="608"/>
      <c r="N17" s="608"/>
      <c r="O17" s="608"/>
      <c r="P17" s="608"/>
      <c r="Q17" s="608"/>
      <c r="R17" s="608"/>
      <c r="S17" s="608"/>
      <c r="T17" s="608"/>
      <c r="U17" s="608"/>
      <c r="V17" s="608"/>
    </row>
    <row r="18" spans="2:22" x14ac:dyDescent="0.25">
      <c r="B18" s="608"/>
      <c r="C18" s="608"/>
      <c r="D18" s="608"/>
      <c r="E18" s="608"/>
      <c r="F18" s="608"/>
      <c r="G18" s="608"/>
      <c r="H18" s="608"/>
      <c r="I18" s="608"/>
      <c r="J18" s="608"/>
      <c r="K18" s="608"/>
      <c r="L18" s="608"/>
      <c r="M18" s="608"/>
      <c r="N18" s="608"/>
      <c r="O18" s="608"/>
      <c r="P18" s="608"/>
      <c r="Q18" s="608"/>
      <c r="R18" s="608"/>
      <c r="S18" s="608"/>
      <c r="T18" s="608"/>
      <c r="U18" s="608"/>
      <c r="V18" s="608"/>
    </row>
    <row r="20" spans="2:22" ht="15.75" thickBot="1" x14ac:dyDescent="0.3">
      <c r="B20" s="175" t="s">
        <v>403</v>
      </c>
      <c r="C20" s="175">
        <v>10</v>
      </c>
      <c r="D20" s="175">
        <v>20</v>
      </c>
      <c r="E20" s="175">
        <v>30</v>
      </c>
      <c r="F20" s="175">
        <v>40</v>
      </c>
      <c r="G20" s="175">
        <v>50</v>
      </c>
      <c r="H20" s="175">
        <v>60</v>
      </c>
      <c r="I20" s="175">
        <v>70</v>
      </c>
      <c r="J20" s="176">
        <v>80</v>
      </c>
      <c r="K20" s="175">
        <v>90</v>
      </c>
      <c r="L20" s="175">
        <v>100</v>
      </c>
    </row>
    <row r="21" spans="2:22" ht="33.75" customHeight="1" thickTop="1" thickBot="1" x14ac:dyDescent="0.3">
      <c r="B21" s="175" t="s">
        <v>404</v>
      </c>
      <c r="C21" s="177" t="s">
        <v>405</v>
      </c>
      <c r="D21" s="177" t="s">
        <v>406</v>
      </c>
      <c r="E21" s="177" t="s">
        <v>407</v>
      </c>
      <c r="F21" s="177" t="s">
        <v>408</v>
      </c>
      <c r="G21" s="177" t="s">
        <v>409</v>
      </c>
      <c r="H21" s="177" t="s">
        <v>410</v>
      </c>
      <c r="I21" s="177" t="s">
        <v>411</v>
      </c>
      <c r="J21" s="177" t="s">
        <v>412</v>
      </c>
      <c r="K21" s="177" t="s">
        <v>413</v>
      </c>
      <c r="L21" s="177" t="s">
        <v>414</v>
      </c>
    </row>
    <row r="22" spans="2:22" ht="15.75" thickTop="1" x14ac:dyDescent="0.25"/>
    <row r="23" spans="2:22" ht="15.75" thickBot="1" x14ac:dyDescent="0.3"/>
    <row r="24" spans="2:22" ht="36" customHeight="1" thickTop="1" thickBot="1" x14ac:dyDescent="0.3">
      <c r="B24" s="175" t="s">
        <v>418</v>
      </c>
      <c r="D24" s="177" t="s">
        <v>405</v>
      </c>
      <c r="E24" s="177" t="s">
        <v>406</v>
      </c>
      <c r="F24" s="177" t="s">
        <v>407</v>
      </c>
      <c r="G24" s="177" t="s">
        <v>408</v>
      </c>
      <c r="H24" s="177" t="s">
        <v>409</v>
      </c>
      <c r="I24" s="177" t="s">
        <v>410</v>
      </c>
      <c r="J24" s="183" t="s">
        <v>411</v>
      </c>
      <c r="K24" s="177" t="s">
        <v>412</v>
      </c>
      <c r="L24" s="177" t="s">
        <v>413</v>
      </c>
      <c r="M24" s="177" t="s">
        <v>414</v>
      </c>
    </row>
    <row r="25" spans="2:22" ht="15.75" thickTop="1" x14ac:dyDescent="0.25">
      <c r="B25" s="175" t="s">
        <v>403</v>
      </c>
      <c r="C25" s="175">
        <v>10</v>
      </c>
      <c r="D25" s="175">
        <v>20</v>
      </c>
      <c r="E25" s="175">
        <v>30</v>
      </c>
      <c r="F25" s="175">
        <v>40</v>
      </c>
      <c r="G25" s="175">
        <v>50</v>
      </c>
      <c r="H25" s="175">
        <v>60</v>
      </c>
      <c r="I25" s="175">
        <v>70</v>
      </c>
      <c r="J25" s="179">
        <v>80</v>
      </c>
      <c r="K25" s="175">
        <v>90</v>
      </c>
      <c r="L25" s="175">
        <v>100</v>
      </c>
      <c r="M25" s="175">
        <v>110</v>
      </c>
    </row>
    <row r="26" spans="2:22" ht="15.75" x14ac:dyDescent="0.25">
      <c r="O26" s="181" t="s">
        <v>420</v>
      </c>
    </row>
    <row r="27" spans="2:22" ht="15.75" x14ac:dyDescent="0.25">
      <c r="O27" s="182" t="s">
        <v>423</v>
      </c>
    </row>
    <row r="31" spans="2:22" x14ac:dyDescent="0.25">
      <c r="C31" s="607" t="s">
        <v>424</v>
      </c>
      <c r="D31" s="607"/>
      <c r="E31" s="607"/>
      <c r="F31" s="607"/>
      <c r="G31" s="607"/>
      <c r="H31" s="607"/>
      <c r="I31" s="607"/>
      <c r="J31" s="607"/>
      <c r="K31" s="607"/>
      <c r="L31" s="607"/>
      <c r="M31" s="607"/>
      <c r="N31" s="607"/>
      <c r="O31" s="607"/>
      <c r="P31" s="607"/>
      <c r="Q31" s="607"/>
      <c r="R31" s="607"/>
      <c r="S31" s="607"/>
      <c r="T31" s="607"/>
      <c r="U31" s="607"/>
      <c r="V31" s="607"/>
    </row>
    <row r="32" spans="2:22" x14ac:dyDescent="0.25">
      <c r="C32" s="607"/>
      <c r="D32" s="607"/>
      <c r="E32" s="607"/>
      <c r="F32" s="607"/>
      <c r="G32" s="607"/>
      <c r="H32" s="607"/>
      <c r="I32" s="607"/>
      <c r="J32" s="607"/>
      <c r="K32" s="607"/>
      <c r="L32" s="607"/>
      <c r="M32" s="607"/>
      <c r="N32" s="607"/>
      <c r="O32" s="607"/>
      <c r="P32" s="607"/>
      <c r="Q32" s="607"/>
      <c r="R32" s="607"/>
      <c r="S32" s="607"/>
      <c r="T32" s="607"/>
      <c r="U32" s="607"/>
      <c r="V32" s="607"/>
    </row>
    <row r="33" spans="3:22" x14ac:dyDescent="0.25">
      <c r="C33" s="607"/>
      <c r="D33" s="607"/>
      <c r="E33" s="607"/>
      <c r="F33" s="607"/>
      <c r="G33" s="607"/>
      <c r="H33" s="607"/>
      <c r="I33" s="607"/>
      <c r="J33" s="607"/>
      <c r="K33" s="607"/>
      <c r="L33" s="607"/>
      <c r="M33" s="607"/>
      <c r="N33" s="607"/>
      <c r="O33" s="607"/>
      <c r="P33" s="607"/>
      <c r="Q33" s="607"/>
      <c r="R33" s="607"/>
      <c r="S33" s="607"/>
      <c r="T33" s="607"/>
      <c r="U33" s="607"/>
      <c r="V33" s="607"/>
    </row>
  </sheetData>
  <mergeCells count="6">
    <mergeCell ref="C31:V33"/>
    <mergeCell ref="B2:V3"/>
    <mergeCell ref="M6:V6"/>
    <mergeCell ref="C9:L9"/>
    <mergeCell ref="C11:L11"/>
    <mergeCell ref="B17:V1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P58"/>
  <sheetViews>
    <sheetView zoomScale="87" zoomScaleNormal="87" workbookViewId="0">
      <selection activeCell="I55" sqref="I55"/>
    </sheetView>
  </sheetViews>
  <sheetFormatPr baseColWidth="10" defaultColWidth="11.42578125" defaultRowHeight="12.75" x14ac:dyDescent="0.2"/>
  <cols>
    <col min="1" max="5" width="11.42578125" style="134"/>
    <col min="6" max="6" width="32" style="134" bestFit="1" customWidth="1"/>
    <col min="7" max="7" width="11.42578125" style="134"/>
    <col min="8" max="8" width="32" style="134" bestFit="1" customWidth="1"/>
    <col min="9" max="9" width="11.42578125" style="134"/>
    <col min="10" max="10" width="24.5703125" style="134" bestFit="1" customWidth="1"/>
    <col min="11" max="11" width="11.42578125" style="134"/>
    <col min="12" max="12" width="24.5703125" style="134" bestFit="1" customWidth="1"/>
    <col min="13" max="13" width="11.42578125" style="134"/>
    <col min="14" max="14" width="24.5703125" style="134" bestFit="1" customWidth="1"/>
    <col min="15" max="16384" width="11.42578125" style="134"/>
  </cols>
  <sheetData>
    <row r="3" spans="2:16" ht="15" x14ac:dyDescent="0.2">
      <c r="B3" s="184"/>
      <c r="C3" s="184"/>
      <c r="D3" s="184"/>
      <c r="E3" s="184"/>
      <c r="F3" s="184"/>
      <c r="G3" s="184"/>
      <c r="H3" s="184"/>
      <c r="I3" s="184"/>
      <c r="J3" s="184"/>
      <c r="K3" s="184"/>
      <c r="L3" s="184"/>
      <c r="M3" s="184"/>
      <c r="N3" s="184"/>
      <c r="O3" s="184"/>
      <c r="P3" s="184"/>
    </row>
    <row r="4" spans="2:16" ht="15.75" thickBot="1" x14ac:dyDescent="0.25">
      <c r="B4" s="184"/>
      <c r="C4" s="184"/>
      <c r="D4" s="184"/>
      <c r="E4" s="184"/>
      <c r="F4" s="184"/>
      <c r="G4" s="184"/>
      <c r="H4" s="184"/>
      <c r="I4" s="184"/>
      <c r="J4" s="184"/>
      <c r="K4" s="184"/>
      <c r="L4" s="184"/>
      <c r="M4" s="184"/>
      <c r="N4" s="184"/>
      <c r="O4" s="184"/>
      <c r="P4" s="184"/>
    </row>
    <row r="5" spans="2:16" ht="16.5" thickBot="1" x14ac:dyDescent="0.25">
      <c r="B5" s="184"/>
      <c r="C5" s="184"/>
      <c r="D5" s="629" t="s">
        <v>425</v>
      </c>
      <c r="E5" s="630"/>
      <c r="F5" s="630"/>
      <c r="G5" s="630"/>
      <c r="H5" s="630"/>
      <c r="I5" s="630"/>
      <c r="J5" s="630"/>
      <c r="K5" s="631"/>
      <c r="L5" s="184"/>
      <c r="M5" s="184"/>
      <c r="N5" s="184"/>
      <c r="O5" s="184"/>
      <c r="P5" s="184"/>
    </row>
    <row r="6" spans="2:16" ht="15.75" customHeight="1" x14ac:dyDescent="0.2">
      <c r="B6" s="184"/>
      <c r="C6" s="184"/>
      <c r="D6" s="232" t="s">
        <v>427</v>
      </c>
      <c r="E6" s="233"/>
      <c r="F6" s="233"/>
      <c r="G6" s="234"/>
      <c r="H6" s="647" t="s">
        <v>426</v>
      </c>
      <c r="I6" s="650"/>
      <c r="J6" s="651"/>
      <c r="K6" s="652"/>
      <c r="L6" s="184"/>
      <c r="M6" s="184"/>
      <c r="N6" s="184"/>
      <c r="O6" s="184"/>
      <c r="P6" s="184"/>
    </row>
    <row r="7" spans="2:16" ht="15" x14ac:dyDescent="0.2">
      <c r="B7" s="184"/>
      <c r="C7" s="184"/>
      <c r="D7" s="235"/>
      <c r="E7" s="236"/>
      <c r="F7" s="236"/>
      <c r="G7" s="237"/>
      <c r="H7" s="648"/>
      <c r="I7" s="653"/>
      <c r="J7" s="654"/>
      <c r="K7" s="655"/>
      <c r="L7" s="184"/>
      <c r="M7" s="184"/>
      <c r="N7" s="184"/>
      <c r="O7" s="184"/>
      <c r="P7" s="184"/>
    </row>
    <row r="8" spans="2:16" ht="15.75" thickBot="1" x14ac:dyDescent="0.25">
      <c r="B8" s="184"/>
      <c r="C8" s="184"/>
      <c r="D8" s="238"/>
      <c r="E8" s="239"/>
      <c r="F8" s="239"/>
      <c r="G8" s="240"/>
      <c r="H8" s="649"/>
      <c r="I8" s="656"/>
      <c r="J8" s="657"/>
      <c r="K8" s="658"/>
      <c r="L8" s="184"/>
      <c r="M8" s="184"/>
      <c r="N8" s="184"/>
      <c r="O8" s="184"/>
      <c r="P8" s="184"/>
    </row>
    <row r="9" spans="2:16" ht="16.5" thickBot="1" x14ac:dyDescent="0.25">
      <c r="B9" s="184"/>
      <c r="C9" s="184"/>
      <c r="D9" s="629" t="s">
        <v>428</v>
      </c>
      <c r="E9" s="631"/>
      <c r="F9" s="186"/>
      <c r="G9" s="629" t="s">
        <v>429</v>
      </c>
      <c r="H9" s="631"/>
      <c r="I9" s="642"/>
      <c r="J9" s="643"/>
      <c r="K9" s="644"/>
      <c r="L9" s="187"/>
      <c r="M9" s="188"/>
      <c r="N9" s="189"/>
      <c r="O9" s="184"/>
      <c r="P9" s="184"/>
    </row>
    <row r="10" spans="2:16" ht="16.5" thickBot="1" x14ac:dyDescent="0.25">
      <c r="B10" s="184"/>
      <c r="C10" s="184"/>
      <c r="D10" s="629" t="s">
        <v>430</v>
      </c>
      <c r="E10" s="631"/>
      <c r="F10" s="186"/>
      <c r="G10" s="629" t="s">
        <v>431</v>
      </c>
      <c r="H10" s="631"/>
      <c r="I10" s="642"/>
      <c r="J10" s="643"/>
      <c r="K10" s="644"/>
      <c r="L10" s="190"/>
      <c r="M10" s="191"/>
      <c r="N10" s="192"/>
      <c r="O10" s="184"/>
      <c r="P10" s="184"/>
    </row>
    <row r="11" spans="2:16" ht="16.5" thickBot="1" x14ac:dyDescent="0.3">
      <c r="B11" s="184"/>
      <c r="C11" s="184"/>
      <c r="D11" s="193"/>
      <c r="E11" s="184"/>
      <c r="F11" s="184"/>
      <c r="G11" s="194"/>
      <c r="H11" s="195"/>
      <c r="I11" s="196"/>
      <c r="J11" s="197"/>
      <c r="K11" s="198"/>
      <c r="L11" s="184"/>
      <c r="M11" s="184"/>
      <c r="N11" s="184"/>
      <c r="O11" s="184"/>
      <c r="P11" s="184"/>
    </row>
    <row r="12" spans="2:16" ht="16.5" thickBot="1" x14ac:dyDescent="0.25">
      <c r="B12" s="184"/>
      <c r="C12" s="184"/>
      <c r="D12" s="199"/>
      <c r="E12" s="645" t="s">
        <v>432</v>
      </c>
      <c r="F12" s="646"/>
      <c r="G12" s="645" t="s">
        <v>433</v>
      </c>
      <c r="H12" s="646"/>
      <c r="I12" s="639" t="s">
        <v>434</v>
      </c>
      <c r="J12" s="640"/>
      <c r="K12" s="639" t="s">
        <v>435</v>
      </c>
      <c r="L12" s="640"/>
      <c r="M12" s="639" t="s">
        <v>436</v>
      </c>
      <c r="N12" s="640"/>
      <c r="O12" s="641" t="s">
        <v>437</v>
      </c>
      <c r="P12" s="640"/>
    </row>
    <row r="13" spans="2:16" ht="16.5" thickBot="1" x14ac:dyDescent="0.25">
      <c r="B13" s="184"/>
      <c r="C13" s="184"/>
      <c r="D13" s="200" t="s">
        <v>372</v>
      </c>
      <c r="E13" s="201" t="s">
        <v>438</v>
      </c>
      <c r="F13" s="202" t="s">
        <v>355</v>
      </c>
      <c r="G13" s="201" t="s">
        <v>438</v>
      </c>
      <c r="H13" s="202" t="s">
        <v>355</v>
      </c>
      <c r="I13" s="201" t="s">
        <v>438</v>
      </c>
      <c r="J13" s="202" t="s">
        <v>355</v>
      </c>
      <c r="K13" s="201" t="s">
        <v>438</v>
      </c>
      <c r="L13" s="202" t="s">
        <v>355</v>
      </c>
      <c r="M13" s="201" t="s">
        <v>438</v>
      </c>
      <c r="N13" s="202" t="s">
        <v>355</v>
      </c>
      <c r="O13" s="203" t="s">
        <v>438</v>
      </c>
      <c r="P13" s="202" t="s">
        <v>355</v>
      </c>
    </row>
    <row r="14" spans="2:16" ht="15" x14ac:dyDescent="0.2">
      <c r="B14" s="184"/>
      <c r="C14" s="184"/>
      <c r="D14" s="204">
        <v>1</v>
      </c>
      <c r="E14" s="205" t="s">
        <v>439</v>
      </c>
      <c r="F14" s="206" t="s">
        <v>440</v>
      </c>
      <c r="G14" s="205" t="s">
        <v>439</v>
      </c>
      <c r="H14" s="206" t="s">
        <v>441</v>
      </c>
      <c r="I14" s="207"/>
      <c r="J14" s="206"/>
      <c r="K14" s="185"/>
      <c r="L14" s="208"/>
      <c r="M14" s="209"/>
      <c r="N14" s="210"/>
      <c r="O14" s="211"/>
      <c r="P14" s="210"/>
    </row>
    <row r="15" spans="2:16" ht="15" x14ac:dyDescent="0.2">
      <c r="B15" s="184"/>
      <c r="C15" s="184"/>
      <c r="D15" s="212">
        <v>2</v>
      </c>
      <c r="E15" s="205" t="s">
        <v>439</v>
      </c>
      <c r="F15" s="627" t="s">
        <v>442</v>
      </c>
      <c r="G15" s="205" t="s">
        <v>439</v>
      </c>
      <c r="H15" s="627" t="s">
        <v>443</v>
      </c>
      <c r="I15" s="205" t="s">
        <v>439</v>
      </c>
      <c r="J15" s="627" t="s">
        <v>442</v>
      </c>
      <c r="K15" s="205" t="s">
        <v>439</v>
      </c>
      <c r="L15" s="627" t="s">
        <v>443</v>
      </c>
      <c r="M15" s="213"/>
      <c r="N15" s="214"/>
      <c r="O15" s="215"/>
      <c r="P15" s="214"/>
    </row>
    <row r="16" spans="2:16" ht="15" x14ac:dyDescent="0.2">
      <c r="B16" s="184"/>
      <c r="C16" s="208"/>
      <c r="D16" s="212">
        <v>3</v>
      </c>
      <c r="E16" s="205" t="s">
        <v>439</v>
      </c>
      <c r="F16" s="628"/>
      <c r="G16" s="205" t="s">
        <v>439</v>
      </c>
      <c r="H16" s="628"/>
      <c r="I16" s="205" t="s">
        <v>439</v>
      </c>
      <c r="J16" s="628"/>
      <c r="K16" s="205" t="s">
        <v>439</v>
      </c>
      <c r="L16" s="628"/>
      <c r="M16" s="213"/>
      <c r="N16" s="214"/>
      <c r="O16" s="215"/>
      <c r="P16" s="214"/>
    </row>
    <row r="17" spans="2:16" ht="15" x14ac:dyDescent="0.2">
      <c r="B17" s="184"/>
      <c r="C17" s="184"/>
      <c r="D17" s="212">
        <v>4</v>
      </c>
      <c r="E17" s="205" t="s">
        <v>439</v>
      </c>
      <c r="F17" s="206" t="s">
        <v>444</v>
      </c>
      <c r="G17" s="207"/>
      <c r="H17" s="206"/>
      <c r="I17" s="205" t="s">
        <v>439</v>
      </c>
      <c r="J17" s="627" t="s">
        <v>445</v>
      </c>
      <c r="K17" s="205" t="s">
        <v>439</v>
      </c>
      <c r="L17" s="627" t="s">
        <v>445</v>
      </c>
      <c r="M17" s="213"/>
      <c r="N17" s="214"/>
      <c r="O17" s="215"/>
      <c r="P17" s="214"/>
    </row>
    <row r="18" spans="2:16" ht="15" x14ac:dyDescent="0.2">
      <c r="B18" s="184"/>
      <c r="C18" s="184"/>
      <c r="D18" s="212">
        <v>5</v>
      </c>
      <c r="E18" s="205" t="s">
        <v>439</v>
      </c>
      <c r="F18" s="627" t="s">
        <v>446</v>
      </c>
      <c r="G18" s="207"/>
      <c r="H18" s="206"/>
      <c r="I18" s="205" t="s">
        <v>439</v>
      </c>
      <c r="J18" s="638"/>
      <c r="K18" s="205" t="s">
        <v>439</v>
      </c>
      <c r="L18" s="638"/>
      <c r="M18" s="205" t="s">
        <v>439</v>
      </c>
      <c r="N18" s="627" t="s">
        <v>446</v>
      </c>
      <c r="O18" s="215"/>
      <c r="P18" s="214"/>
    </row>
    <row r="19" spans="2:16" ht="15.75" thickBot="1" x14ac:dyDescent="0.25">
      <c r="B19" s="184"/>
      <c r="C19" s="184"/>
      <c r="D19" s="212">
        <v>6</v>
      </c>
      <c r="E19" s="205" t="s">
        <v>439</v>
      </c>
      <c r="F19" s="628"/>
      <c r="G19" s="207"/>
      <c r="H19" s="206"/>
      <c r="I19" s="205" t="s">
        <v>439</v>
      </c>
      <c r="J19" s="638"/>
      <c r="K19" s="205" t="s">
        <v>439</v>
      </c>
      <c r="L19" s="638"/>
      <c r="M19" s="205" t="s">
        <v>439</v>
      </c>
      <c r="N19" s="628"/>
      <c r="O19" s="215"/>
      <c r="P19" s="214"/>
    </row>
    <row r="20" spans="2:16" ht="15" x14ac:dyDescent="0.2">
      <c r="B20" s="184"/>
      <c r="C20" s="184"/>
      <c r="D20" s="204">
        <v>7</v>
      </c>
      <c r="E20" s="207"/>
      <c r="F20" s="206"/>
      <c r="G20" s="207"/>
      <c r="H20" s="206"/>
      <c r="I20" s="205" t="s">
        <v>439</v>
      </c>
      <c r="J20" s="628"/>
      <c r="K20" s="205" t="s">
        <v>439</v>
      </c>
      <c r="L20" s="628"/>
      <c r="M20" s="205" t="s">
        <v>439</v>
      </c>
      <c r="N20" s="627" t="s">
        <v>445</v>
      </c>
      <c r="O20" s="215"/>
      <c r="P20" s="214"/>
    </row>
    <row r="21" spans="2:16" ht="15" x14ac:dyDescent="0.2">
      <c r="B21" s="184"/>
      <c r="C21" s="184"/>
      <c r="D21" s="212">
        <v>8</v>
      </c>
      <c r="E21" s="205" t="s">
        <v>439</v>
      </c>
      <c r="F21" s="627" t="s">
        <v>447</v>
      </c>
      <c r="G21" s="205" t="s">
        <v>439</v>
      </c>
      <c r="H21" s="627" t="s">
        <v>448</v>
      </c>
      <c r="I21" s="205" t="s">
        <v>439</v>
      </c>
      <c r="J21" s="627" t="s">
        <v>447</v>
      </c>
      <c r="K21" s="205" t="s">
        <v>439</v>
      </c>
      <c r="L21" s="216" t="s">
        <v>448</v>
      </c>
      <c r="M21" s="205" t="s">
        <v>439</v>
      </c>
      <c r="N21" s="638"/>
      <c r="O21" s="217"/>
      <c r="P21" s="206"/>
    </row>
    <row r="22" spans="2:16" ht="15" x14ac:dyDescent="0.2">
      <c r="B22" s="184"/>
      <c r="C22" s="184"/>
      <c r="D22" s="212">
        <v>9</v>
      </c>
      <c r="E22" s="205" t="s">
        <v>439</v>
      </c>
      <c r="F22" s="628"/>
      <c r="G22" s="205" t="s">
        <v>439</v>
      </c>
      <c r="H22" s="628"/>
      <c r="I22" s="205" t="s">
        <v>439</v>
      </c>
      <c r="J22" s="638"/>
      <c r="K22" s="205" t="s">
        <v>439</v>
      </c>
      <c r="L22" s="218"/>
      <c r="M22" s="205" t="s">
        <v>439</v>
      </c>
      <c r="N22" s="638"/>
      <c r="O22" s="217"/>
      <c r="P22" s="206"/>
    </row>
    <row r="23" spans="2:16" ht="15" x14ac:dyDescent="0.2">
      <c r="B23" s="184"/>
      <c r="C23" s="184"/>
      <c r="D23" s="212">
        <v>10</v>
      </c>
      <c r="E23" s="207"/>
      <c r="F23" s="208"/>
      <c r="G23" s="207"/>
      <c r="H23" s="206"/>
      <c r="I23" s="219"/>
      <c r="J23" s="220"/>
      <c r="K23" s="213"/>
      <c r="L23" s="220"/>
      <c r="M23" s="205" t="s">
        <v>439</v>
      </c>
      <c r="N23" s="628"/>
      <c r="O23" s="217"/>
      <c r="P23" s="206"/>
    </row>
    <row r="24" spans="2:16" ht="15" x14ac:dyDescent="0.2">
      <c r="B24" s="184"/>
      <c r="C24" s="184"/>
      <c r="D24" s="212">
        <v>11</v>
      </c>
      <c r="E24" s="205" t="s">
        <v>439</v>
      </c>
      <c r="F24" s="627" t="s">
        <v>449</v>
      </c>
      <c r="G24" s="207"/>
      <c r="H24" s="206"/>
      <c r="I24" s="219"/>
      <c r="J24" s="220"/>
      <c r="K24" s="213"/>
      <c r="L24" s="220"/>
      <c r="M24" s="205" t="s">
        <v>439</v>
      </c>
      <c r="N24" s="216" t="s">
        <v>449</v>
      </c>
      <c r="O24" s="217"/>
      <c r="P24" s="206"/>
    </row>
    <row r="25" spans="2:16" ht="15.75" thickBot="1" x14ac:dyDescent="0.25">
      <c r="B25" s="184"/>
      <c r="C25" s="184"/>
      <c r="D25" s="212">
        <v>12</v>
      </c>
      <c r="E25" s="205" t="s">
        <v>439</v>
      </c>
      <c r="F25" s="628"/>
      <c r="G25" s="207"/>
      <c r="H25" s="206"/>
      <c r="I25" s="207"/>
      <c r="J25" s="206"/>
      <c r="K25" s="219"/>
      <c r="L25" s="220"/>
      <c r="M25" s="205" t="s">
        <v>439</v>
      </c>
      <c r="N25" s="218"/>
      <c r="O25" s="217"/>
      <c r="P25" s="206"/>
    </row>
    <row r="26" spans="2:16" ht="15" x14ac:dyDescent="0.2">
      <c r="B26" s="184"/>
      <c r="C26" s="184"/>
      <c r="D26" s="204">
        <v>13</v>
      </c>
      <c r="E26" s="207"/>
      <c r="F26" s="220"/>
      <c r="G26" s="207"/>
      <c r="H26" s="206"/>
      <c r="I26" s="207"/>
      <c r="J26" s="206"/>
      <c r="K26" s="219"/>
      <c r="L26" s="220"/>
      <c r="M26" s="213"/>
      <c r="N26" s="214"/>
      <c r="O26" s="217"/>
      <c r="P26" s="206"/>
    </row>
    <row r="27" spans="2:16" ht="15" x14ac:dyDescent="0.2">
      <c r="B27" s="184"/>
      <c r="C27" s="184"/>
      <c r="D27" s="212">
        <v>14</v>
      </c>
      <c r="E27" s="207"/>
      <c r="F27" s="220"/>
      <c r="G27" s="207"/>
      <c r="H27" s="206"/>
      <c r="I27" s="207"/>
      <c r="J27" s="206"/>
      <c r="K27" s="213"/>
      <c r="L27" s="221"/>
      <c r="M27" s="219"/>
      <c r="N27" s="220"/>
      <c r="O27" s="217"/>
      <c r="P27" s="206"/>
    </row>
    <row r="28" spans="2:16" ht="15" x14ac:dyDescent="0.2">
      <c r="B28" s="184"/>
      <c r="C28" s="184"/>
      <c r="D28" s="212">
        <v>15</v>
      </c>
      <c r="E28" s="207"/>
      <c r="F28" s="220"/>
      <c r="G28" s="207"/>
      <c r="H28" s="206"/>
      <c r="I28" s="207"/>
      <c r="J28" s="206"/>
      <c r="K28" s="207"/>
      <c r="L28" s="206"/>
      <c r="M28" s="219"/>
      <c r="N28" s="220"/>
      <c r="O28" s="217"/>
      <c r="P28" s="206"/>
    </row>
    <row r="29" spans="2:16" ht="15" x14ac:dyDescent="0.2">
      <c r="B29" s="184"/>
      <c r="C29" s="184"/>
      <c r="D29" s="212">
        <v>16</v>
      </c>
      <c r="E29" s="207"/>
      <c r="F29" s="206"/>
      <c r="G29" s="207"/>
      <c r="H29" s="206"/>
      <c r="I29" s="207"/>
      <c r="J29" s="206"/>
      <c r="K29" s="207"/>
      <c r="L29" s="206"/>
      <c r="M29" s="207"/>
      <c r="N29" s="206"/>
      <c r="O29" s="217"/>
      <c r="P29" s="206"/>
    </row>
    <row r="30" spans="2:16" ht="15" x14ac:dyDescent="0.2">
      <c r="B30" s="184"/>
      <c r="C30" s="184"/>
      <c r="D30" s="212">
        <v>17</v>
      </c>
      <c r="E30" s="207"/>
      <c r="F30" s="206"/>
      <c r="G30" s="207"/>
      <c r="H30" s="206"/>
      <c r="I30" s="207"/>
      <c r="J30" s="206"/>
      <c r="K30" s="207"/>
      <c r="L30" s="206"/>
      <c r="M30" s="207"/>
      <c r="N30" s="206"/>
      <c r="O30" s="217"/>
      <c r="P30" s="206"/>
    </row>
    <row r="31" spans="2:16" ht="15.75" thickBot="1" x14ac:dyDescent="0.25">
      <c r="B31" s="184"/>
      <c r="C31" s="184"/>
      <c r="D31" s="212">
        <v>18</v>
      </c>
      <c r="E31" s="207"/>
      <c r="F31" s="206"/>
      <c r="G31" s="207"/>
      <c r="H31" s="206"/>
      <c r="I31" s="207"/>
      <c r="J31" s="206"/>
      <c r="K31" s="207"/>
      <c r="L31" s="206"/>
      <c r="M31" s="207"/>
      <c r="N31" s="206"/>
      <c r="O31" s="217"/>
      <c r="P31" s="206"/>
    </row>
    <row r="32" spans="2:16" ht="15" x14ac:dyDescent="0.2">
      <c r="B32" s="184"/>
      <c r="C32" s="184"/>
      <c r="D32" s="204">
        <v>19</v>
      </c>
      <c r="E32" s="207"/>
      <c r="F32" s="206"/>
      <c r="G32" s="207"/>
      <c r="H32" s="206"/>
      <c r="I32" s="207"/>
      <c r="J32" s="206"/>
      <c r="K32" s="207"/>
      <c r="L32" s="206"/>
      <c r="M32" s="207"/>
      <c r="N32" s="206"/>
      <c r="O32" s="217"/>
      <c r="P32" s="206"/>
    </row>
    <row r="33" spans="2:16" ht="15" x14ac:dyDescent="0.2">
      <c r="B33" s="184"/>
      <c r="C33" s="184"/>
      <c r="D33" s="212">
        <v>20</v>
      </c>
      <c r="E33" s="207"/>
      <c r="F33" s="206"/>
      <c r="G33" s="207"/>
      <c r="H33" s="206"/>
      <c r="I33" s="207"/>
      <c r="J33" s="206"/>
      <c r="K33" s="207"/>
      <c r="L33" s="206"/>
      <c r="M33" s="207"/>
      <c r="N33" s="206"/>
      <c r="O33" s="217"/>
      <c r="P33" s="206"/>
    </row>
    <row r="34" spans="2:16" ht="15" x14ac:dyDescent="0.2">
      <c r="B34" s="184"/>
      <c r="C34" s="184"/>
      <c r="D34" s="212">
        <v>21</v>
      </c>
      <c r="E34" s="207"/>
      <c r="F34" s="206"/>
      <c r="G34" s="207"/>
      <c r="H34" s="206"/>
      <c r="I34" s="207"/>
      <c r="J34" s="206"/>
      <c r="K34" s="207"/>
      <c r="L34" s="206"/>
      <c r="M34" s="207"/>
      <c r="N34" s="206"/>
      <c r="O34" s="217"/>
      <c r="P34" s="206"/>
    </row>
    <row r="35" spans="2:16" ht="15" x14ac:dyDescent="0.2">
      <c r="B35" s="184"/>
      <c r="C35" s="184"/>
      <c r="D35" s="212">
        <v>22</v>
      </c>
      <c r="E35" s="207"/>
      <c r="F35" s="206"/>
      <c r="G35" s="207"/>
      <c r="H35" s="206"/>
      <c r="I35" s="207"/>
      <c r="J35" s="206"/>
      <c r="K35" s="207"/>
      <c r="L35" s="206"/>
      <c r="M35" s="207"/>
      <c r="N35" s="206"/>
      <c r="O35" s="217"/>
      <c r="P35" s="206"/>
    </row>
    <row r="36" spans="2:16" ht="15" x14ac:dyDescent="0.2">
      <c r="B36" s="184"/>
      <c r="C36" s="184"/>
      <c r="D36" s="212">
        <v>23</v>
      </c>
      <c r="E36" s="207"/>
      <c r="F36" s="206"/>
      <c r="G36" s="207"/>
      <c r="H36" s="206"/>
      <c r="I36" s="207"/>
      <c r="J36" s="206"/>
      <c r="K36" s="207"/>
      <c r="L36" s="206"/>
      <c r="M36" s="207"/>
      <c r="N36" s="206"/>
      <c r="O36" s="217"/>
      <c r="P36" s="206"/>
    </row>
    <row r="37" spans="2:16" ht="15.75" thickBot="1" x14ac:dyDescent="0.25">
      <c r="B37" s="184"/>
      <c r="C37" s="184"/>
      <c r="D37" s="212">
        <v>24</v>
      </c>
      <c r="E37" s="207"/>
      <c r="F37" s="206"/>
      <c r="G37" s="207"/>
      <c r="H37" s="206"/>
      <c r="I37" s="207"/>
      <c r="J37" s="206"/>
      <c r="K37" s="207"/>
      <c r="L37" s="206"/>
      <c r="M37" s="207"/>
      <c r="N37" s="206"/>
      <c r="O37" s="217"/>
      <c r="P37" s="206"/>
    </row>
    <row r="38" spans="2:16" ht="15" x14ac:dyDescent="0.2">
      <c r="B38" s="184"/>
      <c r="C38" s="184"/>
      <c r="D38" s="204">
        <v>25</v>
      </c>
      <c r="E38" s="207"/>
      <c r="F38" s="206"/>
      <c r="G38" s="207"/>
      <c r="H38" s="206"/>
      <c r="I38" s="207"/>
      <c r="J38" s="206"/>
      <c r="K38" s="207"/>
      <c r="L38" s="206"/>
      <c r="M38" s="207"/>
      <c r="N38" s="206"/>
      <c r="O38" s="217"/>
      <c r="P38" s="206"/>
    </row>
    <row r="39" spans="2:16" ht="15.75" thickBot="1" x14ac:dyDescent="0.25">
      <c r="B39" s="184"/>
      <c r="C39" s="184"/>
      <c r="D39" s="222"/>
      <c r="E39" s="223"/>
      <c r="F39" s="224"/>
      <c r="G39" s="223"/>
      <c r="H39" s="224"/>
      <c r="I39" s="223"/>
      <c r="J39" s="224"/>
      <c r="K39" s="223"/>
      <c r="L39" s="224"/>
      <c r="M39" s="223"/>
      <c r="N39" s="224"/>
      <c r="O39" s="225"/>
      <c r="P39" s="224"/>
    </row>
    <row r="40" spans="2:16" ht="15.75" thickBot="1" x14ac:dyDescent="0.25">
      <c r="B40" s="184"/>
      <c r="C40" s="184"/>
      <c r="D40" s="226"/>
      <c r="E40" s="226"/>
      <c r="F40" s="226"/>
      <c r="G40" s="226"/>
      <c r="H40" s="226"/>
      <c r="I40" s="226"/>
      <c r="J40" s="226"/>
      <c r="K40" s="226"/>
      <c r="L40" s="184"/>
      <c r="M40" s="184"/>
      <c r="N40" s="184"/>
      <c r="O40" s="184"/>
      <c r="P40" s="184"/>
    </row>
    <row r="41" spans="2:16" ht="16.5" thickBot="1" x14ac:dyDescent="0.25">
      <c r="B41" s="184"/>
      <c r="C41" s="184"/>
      <c r="D41" s="629" t="s">
        <v>450</v>
      </c>
      <c r="E41" s="630"/>
      <c r="F41" s="630"/>
      <c r="G41" s="630"/>
      <c r="H41" s="630"/>
      <c r="I41" s="630"/>
      <c r="J41" s="630"/>
      <c r="K41" s="630"/>
      <c r="L41" s="630"/>
      <c r="M41" s="630"/>
      <c r="N41" s="631"/>
      <c r="O41" s="184"/>
      <c r="P41" s="184"/>
    </row>
    <row r="42" spans="2:16" ht="16.5" thickBot="1" x14ac:dyDescent="0.25">
      <c r="B42" s="184"/>
      <c r="C42" s="184"/>
      <c r="D42" s="632" t="s">
        <v>451</v>
      </c>
      <c r="E42" s="633"/>
      <c r="F42" s="227" t="s">
        <v>452</v>
      </c>
      <c r="G42" s="634" t="s">
        <v>453</v>
      </c>
      <c r="H42" s="633"/>
      <c r="I42" s="634" t="s">
        <v>454</v>
      </c>
      <c r="J42" s="633"/>
      <c r="K42" s="635" t="s">
        <v>455</v>
      </c>
      <c r="L42" s="636"/>
      <c r="M42" s="636"/>
      <c r="N42" s="637"/>
      <c r="O42" s="184"/>
      <c r="P42" s="184"/>
    </row>
    <row r="43" spans="2:16" ht="16.5" thickBot="1" x14ac:dyDescent="0.25">
      <c r="B43" s="184"/>
      <c r="C43" s="184"/>
      <c r="D43" s="618" t="str">
        <f>E12</f>
        <v>Operario 1</v>
      </c>
      <c r="E43" s="619"/>
      <c r="F43" s="228">
        <v>12</v>
      </c>
      <c r="G43" s="620">
        <f>COUNTIF(E14:E38,"X")*$D$14</f>
        <v>10</v>
      </c>
      <c r="H43" s="621"/>
      <c r="I43" s="622">
        <f t="shared" ref="I43:I48" si="0">F43-G43</f>
        <v>2</v>
      </c>
      <c r="J43" s="623"/>
      <c r="K43" s="624">
        <f t="shared" ref="K43:K48" si="1">IFERROR(G43/F43,0)</f>
        <v>0.83333333333333337</v>
      </c>
      <c r="L43" s="625"/>
      <c r="M43" s="625"/>
      <c r="N43" s="626"/>
      <c r="O43" s="184"/>
      <c r="P43" s="184"/>
    </row>
    <row r="44" spans="2:16" ht="16.5" thickBot="1" x14ac:dyDescent="0.25">
      <c r="B44" s="184"/>
      <c r="C44" s="184"/>
      <c r="D44" s="618" t="str">
        <f>G12</f>
        <v>Operario 2</v>
      </c>
      <c r="E44" s="619"/>
      <c r="F44" s="228">
        <v>12</v>
      </c>
      <c r="G44" s="620">
        <f>COUNTIF(G14:G39,"X")*$D$14</f>
        <v>5</v>
      </c>
      <c r="H44" s="621"/>
      <c r="I44" s="622">
        <f t="shared" si="0"/>
        <v>7</v>
      </c>
      <c r="J44" s="623"/>
      <c r="K44" s="624">
        <f t="shared" si="1"/>
        <v>0.41666666666666669</v>
      </c>
      <c r="L44" s="625"/>
      <c r="M44" s="625"/>
      <c r="N44" s="626"/>
      <c r="O44" s="184"/>
      <c r="P44" s="184"/>
    </row>
    <row r="45" spans="2:16" ht="16.5" thickBot="1" x14ac:dyDescent="0.25">
      <c r="B45" s="184"/>
      <c r="C45" s="184"/>
      <c r="D45" s="618" t="str">
        <f>I12</f>
        <v>Máquina 1</v>
      </c>
      <c r="E45" s="619"/>
      <c r="F45" s="228">
        <v>12</v>
      </c>
      <c r="G45" s="620">
        <f>COUNTIF(I14:I40,"X")*$D$14</f>
        <v>8</v>
      </c>
      <c r="H45" s="621"/>
      <c r="I45" s="622">
        <f t="shared" si="0"/>
        <v>4</v>
      </c>
      <c r="J45" s="623"/>
      <c r="K45" s="624">
        <f t="shared" si="1"/>
        <v>0.66666666666666663</v>
      </c>
      <c r="L45" s="625"/>
      <c r="M45" s="625"/>
      <c r="N45" s="626"/>
      <c r="O45" s="184"/>
      <c r="P45" s="184"/>
    </row>
    <row r="46" spans="2:16" ht="16.5" thickBot="1" x14ac:dyDescent="0.25">
      <c r="B46" s="184"/>
      <c r="C46" s="184"/>
      <c r="D46" s="618" t="str">
        <f>K12</f>
        <v>Máquina 2</v>
      </c>
      <c r="E46" s="619"/>
      <c r="F46" s="228">
        <v>12</v>
      </c>
      <c r="G46" s="620">
        <f>COUNTIF(K14:K39,"X")*$D$14</f>
        <v>8</v>
      </c>
      <c r="H46" s="621"/>
      <c r="I46" s="622">
        <f t="shared" si="0"/>
        <v>4</v>
      </c>
      <c r="J46" s="623"/>
      <c r="K46" s="624">
        <f t="shared" si="1"/>
        <v>0.66666666666666663</v>
      </c>
      <c r="L46" s="625"/>
      <c r="M46" s="625"/>
      <c r="N46" s="626"/>
      <c r="O46" s="184"/>
      <c r="P46" s="184"/>
    </row>
    <row r="47" spans="2:16" ht="16.5" thickBot="1" x14ac:dyDescent="0.25">
      <c r="B47" s="184"/>
      <c r="C47" s="184"/>
      <c r="D47" s="618" t="str">
        <f>M12</f>
        <v>Máquina 3</v>
      </c>
      <c r="E47" s="619"/>
      <c r="F47" s="228">
        <v>12</v>
      </c>
      <c r="G47" s="620">
        <f>COUNTIF(M14:M39,"X")*$D$14</f>
        <v>8</v>
      </c>
      <c r="H47" s="621"/>
      <c r="I47" s="622">
        <f t="shared" si="0"/>
        <v>4</v>
      </c>
      <c r="J47" s="623"/>
      <c r="K47" s="624">
        <f t="shared" si="1"/>
        <v>0.66666666666666663</v>
      </c>
      <c r="L47" s="625"/>
      <c r="M47" s="625"/>
      <c r="N47" s="626"/>
      <c r="O47" s="184"/>
      <c r="P47" s="184"/>
    </row>
    <row r="48" spans="2:16" ht="16.5" thickBot="1" x14ac:dyDescent="0.25">
      <c r="B48" s="184"/>
      <c r="C48" s="184"/>
      <c r="D48" s="618" t="str">
        <f>O12</f>
        <v>Máquina 4</v>
      </c>
      <c r="E48" s="619"/>
      <c r="F48" s="228">
        <v>12</v>
      </c>
      <c r="G48" s="620">
        <f>COUNTIF(O14:O39,"X")*$D$14</f>
        <v>0</v>
      </c>
      <c r="H48" s="621"/>
      <c r="I48" s="622">
        <f t="shared" si="0"/>
        <v>12</v>
      </c>
      <c r="J48" s="623"/>
      <c r="K48" s="624">
        <f t="shared" si="1"/>
        <v>0</v>
      </c>
      <c r="L48" s="625"/>
      <c r="M48" s="625"/>
      <c r="N48" s="626"/>
      <c r="O48" s="184"/>
      <c r="P48" s="184"/>
    </row>
    <row r="49" spans="2:16" ht="15.75" x14ac:dyDescent="0.2">
      <c r="B49" s="184"/>
      <c r="C49" s="184"/>
      <c r="D49" s="226"/>
      <c r="E49" s="226"/>
      <c r="F49" s="229"/>
      <c r="G49" s="184"/>
      <c r="H49" s="184"/>
      <c r="I49" s="230"/>
      <c r="J49" s="184"/>
      <c r="K49" s="231"/>
      <c r="L49" s="231"/>
      <c r="M49" s="231"/>
      <c r="N49" s="231"/>
      <c r="O49" s="184"/>
      <c r="P49" s="184"/>
    </row>
    <row r="50" spans="2:16" ht="15" x14ac:dyDescent="0.2">
      <c r="B50" s="184"/>
      <c r="C50" s="184"/>
      <c r="D50" s="226"/>
      <c r="E50" s="226"/>
      <c r="F50" s="226"/>
      <c r="G50" s="226"/>
      <c r="H50" s="226"/>
      <c r="I50" s="226"/>
      <c r="J50" s="226"/>
      <c r="K50" s="226"/>
      <c r="L50" s="184"/>
      <c r="M50" s="184"/>
      <c r="N50" s="184"/>
      <c r="O50" s="184"/>
      <c r="P50" s="184"/>
    </row>
    <row r="51" spans="2:16" ht="15" x14ac:dyDescent="0.2">
      <c r="B51" s="184"/>
      <c r="C51" s="184"/>
      <c r="D51" s="358"/>
      <c r="E51" s="358"/>
      <c r="F51" s="358"/>
      <c r="G51" s="184"/>
      <c r="H51" s="184"/>
      <c r="I51" s="226"/>
      <c r="J51" s="226"/>
      <c r="K51" s="226"/>
      <c r="L51" s="184"/>
      <c r="M51" s="184"/>
      <c r="N51" s="184"/>
      <c r="O51" s="184"/>
      <c r="P51" s="184"/>
    </row>
    <row r="52" spans="2:16" ht="15" x14ac:dyDescent="0.2">
      <c r="B52" s="184"/>
      <c r="C52" s="184"/>
      <c r="D52" s="358"/>
      <c r="E52" s="358"/>
      <c r="F52" s="358"/>
      <c r="G52" s="184"/>
      <c r="H52" s="184"/>
      <c r="I52" s="226"/>
      <c r="J52" s="226"/>
      <c r="K52" s="226"/>
      <c r="L52" s="184"/>
      <c r="M52" s="184"/>
      <c r="N52" s="184"/>
      <c r="O52" s="184"/>
      <c r="P52" s="184"/>
    </row>
    <row r="53" spans="2:16" ht="15" x14ac:dyDescent="0.2">
      <c r="B53" s="184"/>
      <c r="C53" s="184"/>
      <c r="D53" s="358"/>
      <c r="E53" s="358"/>
      <c r="F53" s="358"/>
      <c r="G53" s="184"/>
      <c r="H53" s="184"/>
      <c r="I53" s="226"/>
      <c r="J53" s="226"/>
      <c r="K53" s="226"/>
      <c r="L53" s="184"/>
      <c r="M53" s="184"/>
      <c r="N53" s="184"/>
      <c r="O53" s="184"/>
      <c r="P53" s="184"/>
    </row>
    <row r="54" spans="2:16" ht="15" x14ac:dyDescent="0.2">
      <c r="B54" s="184"/>
      <c r="C54" s="184"/>
      <c r="D54" s="358"/>
      <c r="E54" s="358"/>
      <c r="F54" s="358"/>
      <c r="G54" s="184"/>
      <c r="H54" s="184"/>
      <c r="I54" s="226"/>
      <c r="J54" s="226"/>
      <c r="K54" s="226"/>
      <c r="L54" s="184"/>
      <c r="M54" s="184"/>
      <c r="N54" s="184"/>
      <c r="O54" s="184"/>
      <c r="P54" s="184"/>
    </row>
    <row r="55" spans="2:16" ht="15" x14ac:dyDescent="0.2">
      <c r="B55" s="184"/>
      <c r="C55" s="184"/>
      <c r="D55" s="358"/>
      <c r="E55" s="358"/>
      <c r="F55" s="358"/>
      <c r="G55" s="184"/>
      <c r="H55" s="184"/>
      <c r="I55" s="226"/>
      <c r="J55" s="226"/>
      <c r="K55" s="226"/>
      <c r="L55" s="184"/>
      <c r="M55" s="184"/>
      <c r="N55" s="184"/>
      <c r="O55" s="184"/>
      <c r="P55" s="184"/>
    </row>
    <row r="56" spans="2:16" ht="15" x14ac:dyDescent="0.2">
      <c r="B56" s="184"/>
      <c r="C56" s="184"/>
      <c r="D56" s="184"/>
      <c r="E56" s="184"/>
      <c r="F56" s="184"/>
      <c r="G56" s="184"/>
      <c r="H56" s="184"/>
      <c r="I56" s="226"/>
      <c r="J56" s="226"/>
      <c r="K56" s="226"/>
      <c r="L56" s="184"/>
      <c r="M56" s="184"/>
      <c r="N56" s="184"/>
      <c r="O56" s="184"/>
      <c r="P56" s="184"/>
    </row>
    <row r="57" spans="2:16" ht="15" x14ac:dyDescent="0.2">
      <c r="B57" s="184"/>
      <c r="C57" s="184"/>
      <c r="D57" s="226"/>
      <c r="E57" s="226"/>
      <c r="F57" s="226"/>
      <c r="G57" s="226"/>
      <c r="H57" s="226"/>
      <c r="I57" s="226"/>
      <c r="J57" s="226"/>
      <c r="K57" s="226"/>
      <c r="L57" s="184"/>
      <c r="M57" s="184"/>
      <c r="N57" s="184"/>
      <c r="O57" s="184"/>
      <c r="P57" s="184"/>
    </row>
    <row r="58" spans="2:16" ht="15" x14ac:dyDescent="0.2">
      <c r="B58" s="184"/>
      <c r="C58" s="184"/>
      <c r="D58" s="226"/>
      <c r="E58" s="226"/>
      <c r="F58" s="226"/>
      <c r="G58" s="226"/>
      <c r="H58" s="226"/>
      <c r="I58" s="226"/>
      <c r="J58" s="226"/>
      <c r="K58" s="226"/>
      <c r="L58" s="184"/>
      <c r="M58" s="184"/>
      <c r="N58" s="184"/>
      <c r="O58" s="184"/>
      <c r="P58" s="184"/>
    </row>
  </sheetData>
  <mergeCells count="57">
    <mergeCell ref="D5:K5"/>
    <mergeCell ref="H6:H8"/>
    <mergeCell ref="I6:K8"/>
    <mergeCell ref="D9:E9"/>
    <mergeCell ref="G9:H9"/>
    <mergeCell ref="I9:K9"/>
    <mergeCell ref="D10:E10"/>
    <mergeCell ref="G10:H10"/>
    <mergeCell ref="I10:K10"/>
    <mergeCell ref="E12:F12"/>
    <mergeCell ref="G12:H12"/>
    <mergeCell ref="I12:J12"/>
    <mergeCell ref="K12:L12"/>
    <mergeCell ref="M12:N12"/>
    <mergeCell ref="O12:P12"/>
    <mergeCell ref="F15:F16"/>
    <mergeCell ref="H15:H16"/>
    <mergeCell ref="J15:J16"/>
    <mergeCell ref="L15:L16"/>
    <mergeCell ref="J17:J20"/>
    <mergeCell ref="L17:L20"/>
    <mergeCell ref="F18:F19"/>
    <mergeCell ref="N18:N19"/>
    <mergeCell ref="N20:N23"/>
    <mergeCell ref="F21:F22"/>
    <mergeCell ref="H21:H22"/>
    <mergeCell ref="J21:J22"/>
    <mergeCell ref="F24:F25"/>
    <mergeCell ref="D41:N41"/>
    <mergeCell ref="D42:E42"/>
    <mergeCell ref="G42:H42"/>
    <mergeCell ref="I42:J42"/>
    <mergeCell ref="K42:N42"/>
    <mergeCell ref="D43:E43"/>
    <mergeCell ref="G43:H43"/>
    <mergeCell ref="I43:J43"/>
    <mergeCell ref="K43:N43"/>
    <mergeCell ref="D44:E44"/>
    <mergeCell ref="G44:H44"/>
    <mergeCell ref="I44:J44"/>
    <mergeCell ref="K44:N44"/>
    <mergeCell ref="D45:E45"/>
    <mergeCell ref="G45:H45"/>
    <mergeCell ref="I45:J45"/>
    <mergeCell ref="K45:N45"/>
    <mergeCell ref="D46:E46"/>
    <mergeCell ref="G46:H46"/>
    <mergeCell ref="I46:J46"/>
    <mergeCell ref="K46:N46"/>
    <mergeCell ref="D47:E47"/>
    <mergeCell ref="G47:H47"/>
    <mergeCell ref="I47:J47"/>
    <mergeCell ref="K47:N47"/>
    <mergeCell ref="D48:E48"/>
    <mergeCell ref="G48:H48"/>
    <mergeCell ref="I48:J48"/>
    <mergeCell ref="K48:N48"/>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33"/>
  <sheetViews>
    <sheetView workbookViewId="0">
      <selection activeCell="L30" sqref="L30"/>
    </sheetView>
  </sheetViews>
  <sheetFormatPr baseColWidth="10" defaultColWidth="11.42578125" defaultRowHeight="15" x14ac:dyDescent="0.25"/>
  <cols>
    <col min="1" max="10" width="11.42578125" style="54"/>
    <col min="11" max="11" width="13.7109375" style="54" bestFit="1" customWidth="1"/>
    <col min="12" max="12" width="11.42578125" style="54" customWidth="1"/>
    <col min="13" max="16384" width="11.42578125" style="54"/>
  </cols>
  <sheetData>
    <row r="1" spans="1:14" x14ac:dyDescent="0.25">
      <c r="A1" s="659" t="s">
        <v>456</v>
      </c>
      <c r="B1" s="660" t="s">
        <v>457</v>
      </c>
      <c r="C1" s="660"/>
      <c r="D1" s="660"/>
      <c r="E1" s="660"/>
      <c r="F1" s="660"/>
    </row>
    <row r="2" spans="1:14" x14ac:dyDescent="0.25">
      <c r="A2" s="659"/>
      <c r="B2" s="53" t="s">
        <v>458</v>
      </c>
      <c r="C2" s="53" t="s">
        <v>459</v>
      </c>
      <c r="D2" s="53" t="s">
        <v>460</v>
      </c>
      <c r="E2" s="53" t="s">
        <v>461</v>
      </c>
      <c r="F2" s="53" t="s">
        <v>462</v>
      </c>
      <c r="G2" s="53" t="s">
        <v>463</v>
      </c>
      <c r="H2" s="53" t="s">
        <v>464</v>
      </c>
      <c r="I2" s="53" t="s">
        <v>465</v>
      </c>
      <c r="J2" s="53" t="s">
        <v>466</v>
      </c>
      <c r="M2" s="53" t="s">
        <v>467</v>
      </c>
      <c r="N2" s="53">
        <v>558</v>
      </c>
    </row>
    <row r="3" spans="1:14" x14ac:dyDescent="0.25">
      <c r="A3" s="53">
        <v>1</v>
      </c>
      <c r="B3" s="53">
        <f ca="1">RANDBETWEEN(530,550)</f>
        <v>548</v>
      </c>
      <c r="C3" s="53">
        <f ca="1">RANDBETWEEN(530,550)</f>
        <v>533</v>
      </c>
      <c r="D3" s="53">
        <f t="shared" ref="D3:F3" ca="1" si="0">RANDBETWEEN(530,550)</f>
        <v>535</v>
      </c>
      <c r="E3" s="53">
        <f t="shared" ca="1" si="0"/>
        <v>550</v>
      </c>
      <c r="F3" s="53">
        <f t="shared" ca="1" si="0"/>
        <v>539</v>
      </c>
      <c r="G3" s="53">
        <f ca="1">AVERAGE(B3:F3)</f>
        <v>541</v>
      </c>
      <c r="H3" s="53">
        <v>558</v>
      </c>
      <c r="I3" s="53">
        <v>525</v>
      </c>
      <c r="J3" s="53">
        <f ca="1">_xlfn.STDEV.S(B3:F3)</f>
        <v>7.6485292703891776</v>
      </c>
      <c r="M3" s="53" t="s">
        <v>468</v>
      </c>
      <c r="N3" s="53">
        <v>525</v>
      </c>
    </row>
    <row r="4" spans="1:14" x14ac:dyDescent="0.25">
      <c r="A4" s="53">
        <v>2</v>
      </c>
      <c r="B4" s="53">
        <f t="shared" ref="B4:F32" ca="1" si="1">RANDBETWEEN(530,550)</f>
        <v>537</v>
      </c>
      <c r="C4" s="53">
        <f t="shared" ca="1" si="1"/>
        <v>546</v>
      </c>
      <c r="D4" s="53">
        <f t="shared" ca="1" si="1"/>
        <v>533</v>
      </c>
      <c r="E4" s="53">
        <f t="shared" ca="1" si="1"/>
        <v>550</v>
      </c>
      <c r="F4" s="53">
        <f t="shared" ca="1" si="1"/>
        <v>550</v>
      </c>
      <c r="G4" s="53">
        <f t="shared" ref="G4:G32" ca="1" si="2">AVERAGE(B4:F4)</f>
        <v>543.20000000000005</v>
      </c>
      <c r="H4" s="53">
        <v>558</v>
      </c>
      <c r="I4" s="53">
        <v>525</v>
      </c>
      <c r="J4" s="53">
        <f t="shared" ref="J4:J32" ca="1" si="3">_xlfn.STDEV.S(B4:F4)</f>
        <v>7.7910204723129821</v>
      </c>
      <c r="M4" s="53" t="s">
        <v>469</v>
      </c>
      <c r="N4" s="243">
        <f ca="1">G33</f>
        <v>539.45999999999992</v>
      </c>
    </row>
    <row r="5" spans="1:14" x14ac:dyDescent="0.25">
      <c r="A5" s="53">
        <v>3</v>
      </c>
      <c r="B5" s="53">
        <f t="shared" ca="1" si="1"/>
        <v>545</v>
      </c>
      <c r="C5" s="53">
        <f t="shared" ca="1" si="1"/>
        <v>542</v>
      </c>
      <c r="D5" s="53">
        <f t="shared" ca="1" si="1"/>
        <v>540</v>
      </c>
      <c r="E5" s="53">
        <f t="shared" ca="1" si="1"/>
        <v>530</v>
      </c>
      <c r="F5" s="53">
        <f t="shared" ca="1" si="1"/>
        <v>544</v>
      </c>
      <c r="G5" s="53">
        <f t="shared" ca="1" si="2"/>
        <v>540.20000000000005</v>
      </c>
      <c r="H5" s="53">
        <v>558</v>
      </c>
      <c r="I5" s="53">
        <v>525</v>
      </c>
      <c r="J5" s="53">
        <f t="shared" ca="1" si="3"/>
        <v>6.0166435825965294</v>
      </c>
      <c r="M5" s="53" t="s">
        <v>470</v>
      </c>
      <c r="N5" s="241">
        <f ca="1">(N2-N3)/(6*J33)</f>
        <v>0.84091693706432658</v>
      </c>
    </row>
    <row r="6" spans="1:14" x14ac:dyDescent="0.25">
      <c r="A6" s="53">
        <v>4</v>
      </c>
      <c r="B6" s="53">
        <f t="shared" ca="1" si="1"/>
        <v>547</v>
      </c>
      <c r="C6" s="53">
        <f t="shared" ca="1" si="1"/>
        <v>545</v>
      </c>
      <c r="D6" s="53">
        <f t="shared" ca="1" si="1"/>
        <v>533</v>
      </c>
      <c r="E6" s="53">
        <f t="shared" ca="1" si="1"/>
        <v>532</v>
      </c>
      <c r="F6" s="53">
        <f t="shared" ca="1" si="1"/>
        <v>535</v>
      </c>
      <c r="G6" s="53">
        <f t="shared" ca="1" si="2"/>
        <v>538.4</v>
      </c>
      <c r="H6" s="53">
        <v>558</v>
      </c>
      <c r="I6" s="53">
        <v>525</v>
      </c>
      <c r="J6" s="53">
        <f t="shared" ca="1" si="3"/>
        <v>7.0569115057509402</v>
      </c>
      <c r="M6" s="53" t="s">
        <v>471</v>
      </c>
      <c r="N6" s="241">
        <f ca="1">(N4-N3)/(3*J33)</f>
        <v>0.73694902484546043</v>
      </c>
    </row>
    <row r="7" spans="1:14" x14ac:dyDescent="0.25">
      <c r="A7" s="53">
        <v>5</v>
      </c>
      <c r="B7" s="53">
        <f t="shared" ca="1" si="1"/>
        <v>547</v>
      </c>
      <c r="C7" s="53">
        <f t="shared" ca="1" si="1"/>
        <v>530</v>
      </c>
      <c r="D7" s="53">
        <f t="shared" ca="1" si="1"/>
        <v>538</v>
      </c>
      <c r="E7" s="53">
        <f t="shared" ca="1" si="1"/>
        <v>544</v>
      </c>
      <c r="F7" s="53">
        <f t="shared" ca="1" si="1"/>
        <v>544</v>
      </c>
      <c r="G7" s="53">
        <f t="shared" ca="1" si="2"/>
        <v>540.6</v>
      </c>
      <c r="H7" s="53">
        <v>558</v>
      </c>
      <c r="I7" s="53">
        <v>525</v>
      </c>
      <c r="J7" s="53">
        <f t="shared" ca="1" si="3"/>
        <v>6.7675697262754522</v>
      </c>
      <c r="M7" s="53" t="s">
        <v>472</v>
      </c>
      <c r="N7" s="53">
        <f ca="1">(N2-N4)/(3*J33)</f>
        <v>0.94488484928319272</v>
      </c>
    </row>
    <row r="8" spans="1:14" x14ac:dyDescent="0.25">
      <c r="A8" s="53">
        <v>6</v>
      </c>
      <c r="B8" s="53">
        <f t="shared" ca="1" si="1"/>
        <v>530</v>
      </c>
      <c r="C8" s="53">
        <f t="shared" ca="1" si="1"/>
        <v>537</v>
      </c>
      <c r="D8" s="53">
        <f t="shared" ca="1" si="1"/>
        <v>539</v>
      </c>
      <c r="E8" s="53">
        <f t="shared" ca="1" si="1"/>
        <v>532</v>
      </c>
      <c r="F8" s="53">
        <f t="shared" ca="1" si="1"/>
        <v>531</v>
      </c>
      <c r="G8" s="53">
        <f t="shared" ca="1" si="2"/>
        <v>533.79999999999995</v>
      </c>
      <c r="H8" s="53">
        <v>558</v>
      </c>
      <c r="I8" s="53">
        <v>525</v>
      </c>
      <c r="J8" s="53">
        <f t="shared" ca="1" si="3"/>
        <v>3.9623225512317899</v>
      </c>
    </row>
    <row r="9" spans="1:14" x14ac:dyDescent="0.25">
      <c r="A9" s="53">
        <v>7</v>
      </c>
      <c r="B9" s="53">
        <f t="shared" ca="1" si="1"/>
        <v>545</v>
      </c>
      <c r="C9" s="53">
        <f t="shared" ca="1" si="1"/>
        <v>534</v>
      </c>
      <c r="D9" s="53">
        <f t="shared" ca="1" si="1"/>
        <v>533</v>
      </c>
      <c r="E9" s="53">
        <f t="shared" ca="1" si="1"/>
        <v>548</v>
      </c>
      <c r="F9" s="53">
        <f t="shared" ca="1" si="1"/>
        <v>531</v>
      </c>
      <c r="G9" s="53">
        <f t="shared" ca="1" si="2"/>
        <v>538.20000000000005</v>
      </c>
      <c r="H9" s="53">
        <v>558</v>
      </c>
      <c r="I9" s="53">
        <v>525</v>
      </c>
      <c r="J9" s="53">
        <f t="shared" ca="1" si="3"/>
        <v>7.7265775088327437</v>
      </c>
    </row>
    <row r="10" spans="1:14" x14ac:dyDescent="0.25">
      <c r="A10" s="53">
        <v>8</v>
      </c>
      <c r="B10" s="53">
        <f t="shared" ca="1" si="1"/>
        <v>530</v>
      </c>
      <c r="C10" s="53">
        <f t="shared" ca="1" si="1"/>
        <v>533</v>
      </c>
      <c r="D10" s="53">
        <f t="shared" ca="1" si="1"/>
        <v>536</v>
      </c>
      <c r="E10" s="53">
        <f t="shared" ca="1" si="1"/>
        <v>550</v>
      </c>
      <c r="F10" s="53">
        <f t="shared" ca="1" si="1"/>
        <v>533</v>
      </c>
      <c r="G10" s="53">
        <f t="shared" ca="1" si="2"/>
        <v>536.4</v>
      </c>
      <c r="H10" s="53">
        <v>558</v>
      </c>
      <c r="I10" s="53">
        <v>525</v>
      </c>
      <c r="J10" s="53">
        <f t="shared" ca="1" si="3"/>
        <v>7.893034904268446</v>
      </c>
    </row>
    <row r="11" spans="1:14" x14ac:dyDescent="0.25">
      <c r="A11" s="53">
        <v>9</v>
      </c>
      <c r="B11" s="53">
        <f t="shared" ca="1" si="1"/>
        <v>537</v>
      </c>
      <c r="C11" s="53">
        <f t="shared" ca="1" si="1"/>
        <v>549</v>
      </c>
      <c r="D11" s="53">
        <f t="shared" ca="1" si="1"/>
        <v>550</v>
      </c>
      <c r="E11" s="53">
        <f t="shared" ca="1" si="1"/>
        <v>533</v>
      </c>
      <c r="F11" s="53">
        <f t="shared" ca="1" si="1"/>
        <v>546</v>
      </c>
      <c r="G11" s="53">
        <f t="shared" ca="1" si="2"/>
        <v>543</v>
      </c>
      <c r="H11" s="53">
        <v>558</v>
      </c>
      <c r="I11" s="53">
        <v>525</v>
      </c>
      <c r="J11" s="53">
        <f t="shared" ca="1" si="3"/>
        <v>7.5828754440515507</v>
      </c>
    </row>
    <row r="12" spans="1:14" x14ac:dyDescent="0.25">
      <c r="A12" s="53">
        <v>10</v>
      </c>
      <c r="B12" s="53">
        <f t="shared" ca="1" si="1"/>
        <v>547</v>
      </c>
      <c r="C12" s="53">
        <f t="shared" ca="1" si="1"/>
        <v>532</v>
      </c>
      <c r="D12" s="53">
        <f t="shared" ca="1" si="1"/>
        <v>549</v>
      </c>
      <c r="E12" s="53">
        <f t="shared" ca="1" si="1"/>
        <v>536</v>
      </c>
      <c r="F12" s="53">
        <f t="shared" ca="1" si="1"/>
        <v>536</v>
      </c>
      <c r="G12" s="53">
        <f t="shared" ca="1" si="2"/>
        <v>540</v>
      </c>
      <c r="H12" s="53">
        <v>558</v>
      </c>
      <c r="I12" s="53">
        <v>525</v>
      </c>
      <c r="J12" s="53">
        <f t="shared" ca="1" si="3"/>
        <v>7.5166481891864541</v>
      </c>
    </row>
    <row r="13" spans="1:14" x14ac:dyDescent="0.25">
      <c r="A13" s="53">
        <v>11</v>
      </c>
      <c r="B13" s="53">
        <f t="shared" ca="1" si="1"/>
        <v>546</v>
      </c>
      <c r="C13" s="53">
        <f t="shared" ca="1" si="1"/>
        <v>539</v>
      </c>
      <c r="D13" s="53">
        <f t="shared" ca="1" si="1"/>
        <v>549</v>
      </c>
      <c r="E13" s="53">
        <f t="shared" ca="1" si="1"/>
        <v>538</v>
      </c>
      <c r="F13" s="53">
        <f t="shared" ca="1" si="1"/>
        <v>537</v>
      </c>
      <c r="G13" s="53">
        <f t="shared" ca="1" si="2"/>
        <v>541.79999999999995</v>
      </c>
      <c r="H13" s="53">
        <v>558</v>
      </c>
      <c r="I13" s="53">
        <v>525</v>
      </c>
      <c r="J13" s="53">
        <f t="shared" ca="1" si="3"/>
        <v>5.3572380943915494</v>
      </c>
    </row>
    <row r="14" spans="1:14" x14ac:dyDescent="0.25">
      <c r="A14" s="53">
        <v>12</v>
      </c>
      <c r="B14" s="53">
        <f t="shared" ca="1" si="1"/>
        <v>534</v>
      </c>
      <c r="C14" s="53">
        <f t="shared" ca="1" si="1"/>
        <v>534</v>
      </c>
      <c r="D14" s="53">
        <f t="shared" ca="1" si="1"/>
        <v>539</v>
      </c>
      <c r="E14" s="53">
        <f t="shared" ca="1" si="1"/>
        <v>548</v>
      </c>
      <c r="F14" s="53">
        <f t="shared" ca="1" si="1"/>
        <v>550</v>
      </c>
      <c r="G14" s="53">
        <f t="shared" ca="1" si="2"/>
        <v>541</v>
      </c>
      <c r="H14" s="53">
        <v>558</v>
      </c>
      <c r="I14" s="53">
        <v>525</v>
      </c>
      <c r="J14" s="53">
        <f t="shared" ca="1" si="3"/>
        <v>7.6157731058639087</v>
      </c>
    </row>
    <row r="15" spans="1:14" x14ac:dyDescent="0.25">
      <c r="A15" s="53">
        <v>13</v>
      </c>
      <c r="B15" s="53">
        <f t="shared" ca="1" si="1"/>
        <v>534</v>
      </c>
      <c r="C15" s="53">
        <f t="shared" ca="1" si="1"/>
        <v>533</v>
      </c>
      <c r="D15" s="53">
        <f t="shared" ca="1" si="1"/>
        <v>539</v>
      </c>
      <c r="E15" s="53">
        <f t="shared" ca="1" si="1"/>
        <v>546</v>
      </c>
      <c r="F15" s="53">
        <f t="shared" ca="1" si="1"/>
        <v>536</v>
      </c>
      <c r="G15" s="53">
        <f t="shared" ca="1" si="2"/>
        <v>537.6</v>
      </c>
      <c r="H15" s="53">
        <v>558</v>
      </c>
      <c r="I15" s="53">
        <v>525</v>
      </c>
      <c r="J15" s="53">
        <f t="shared" ca="1" si="3"/>
        <v>5.2249401910452526</v>
      </c>
    </row>
    <row r="16" spans="1:14" x14ac:dyDescent="0.25">
      <c r="A16" s="53">
        <v>14</v>
      </c>
      <c r="B16" s="53">
        <f t="shared" ca="1" si="1"/>
        <v>539</v>
      </c>
      <c r="C16" s="53">
        <f t="shared" ca="1" si="1"/>
        <v>537</v>
      </c>
      <c r="D16" s="53">
        <f t="shared" ca="1" si="1"/>
        <v>530</v>
      </c>
      <c r="E16" s="53">
        <f t="shared" ca="1" si="1"/>
        <v>543</v>
      </c>
      <c r="F16" s="53">
        <f t="shared" ca="1" si="1"/>
        <v>543</v>
      </c>
      <c r="G16" s="53">
        <f t="shared" ca="1" si="2"/>
        <v>538.4</v>
      </c>
      <c r="H16" s="53">
        <v>558</v>
      </c>
      <c r="I16" s="53">
        <v>525</v>
      </c>
      <c r="J16" s="53">
        <f t="shared" ca="1" si="3"/>
        <v>5.3665631459994954</v>
      </c>
    </row>
    <row r="17" spans="1:10" x14ac:dyDescent="0.25">
      <c r="A17" s="53">
        <v>15</v>
      </c>
      <c r="B17" s="53">
        <f t="shared" ca="1" si="1"/>
        <v>540</v>
      </c>
      <c r="C17" s="53">
        <f t="shared" ca="1" si="1"/>
        <v>539</v>
      </c>
      <c r="D17" s="53">
        <f t="shared" ca="1" si="1"/>
        <v>532</v>
      </c>
      <c r="E17" s="53">
        <f t="shared" ca="1" si="1"/>
        <v>533</v>
      </c>
      <c r="F17" s="53">
        <f t="shared" ca="1" si="1"/>
        <v>537</v>
      </c>
      <c r="G17" s="53">
        <f t="shared" ca="1" si="2"/>
        <v>536.20000000000005</v>
      </c>
      <c r="H17" s="53">
        <v>558</v>
      </c>
      <c r="I17" s="53">
        <v>525</v>
      </c>
      <c r="J17" s="53">
        <f t="shared" ca="1" si="3"/>
        <v>3.5637059362410923</v>
      </c>
    </row>
    <row r="18" spans="1:10" x14ac:dyDescent="0.25">
      <c r="A18" s="53">
        <v>16</v>
      </c>
      <c r="B18" s="53">
        <f t="shared" ca="1" si="1"/>
        <v>539</v>
      </c>
      <c r="C18" s="53">
        <f t="shared" ca="1" si="1"/>
        <v>532</v>
      </c>
      <c r="D18" s="53">
        <f t="shared" ca="1" si="1"/>
        <v>538</v>
      </c>
      <c r="E18" s="53">
        <f t="shared" ca="1" si="1"/>
        <v>548</v>
      </c>
      <c r="F18" s="53">
        <f t="shared" ca="1" si="1"/>
        <v>546</v>
      </c>
      <c r="G18" s="53">
        <f t="shared" ca="1" si="2"/>
        <v>540.6</v>
      </c>
      <c r="H18" s="53">
        <v>558</v>
      </c>
      <c r="I18" s="53">
        <v>525</v>
      </c>
      <c r="J18" s="53">
        <f t="shared" ca="1" si="3"/>
        <v>6.4652919500978454</v>
      </c>
    </row>
    <row r="19" spans="1:10" x14ac:dyDescent="0.25">
      <c r="A19" s="53">
        <v>17</v>
      </c>
      <c r="B19" s="53">
        <f t="shared" ca="1" si="1"/>
        <v>544</v>
      </c>
      <c r="C19" s="53">
        <f t="shared" ca="1" si="1"/>
        <v>546</v>
      </c>
      <c r="D19" s="53">
        <f t="shared" ca="1" si="1"/>
        <v>540</v>
      </c>
      <c r="E19" s="53">
        <f t="shared" ca="1" si="1"/>
        <v>534</v>
      </c>
      <c r="F19" s="53">
        <f t="shared" ca="1" si="1"/>
        <v>535</v>
      </c>
      <c r="G19" s="53">
        <f t="shared" ca="1" si="2"/>
        <v>539.79999999999995</v>
      </c>
      <c r="H19" s="53">
        <v>558</v>
      </c>
      <c r="I19" s="53">
        <v>525</v>
      </c>
      <c r="J19" s="53">
        <f t="shared" ca="1" si="3"/>
        <v>5.3103672189407014</v>
      </c>
    </row>
    <row r="20" spans="1:10" x14ac:dyDescent="0.25">
      <c r="A20" s="53">
        <v>18</v>
      </c>
      <c r="B20" s="53">
        <f t="shared" ca="1" si="1"/>
        <v>549</v>
      </c>
      <c r="C20" s="53">
        <f t="shared" ca="1" si="1"/>
        <v>548</v>
      </c>
      <c r="D20" s="53">
        <f t="shared" ca="1" si="1"/>
        <v>537</v>
      </c>
      <c r="E20" s="53">
        <f t="shared" ca="1" si="1"/>
        <v>534</v>
      </c>
      <c r="F20" s="53">
        <f t="shared" ca="1" si="1"/>
        <v>538</v>
      </c>
      <c r="G20" s="53">
        <f t="shared" ca="1" si="2"/>
        <v>541.20000000000005</v>
      </c>
      <c r="H20" s="53">
        <v>558</v>
      </c>
      <c r="I20" s="53">
        <v>525</v>
      </c>
      <c r="J20" s="53">
        <f t="shared" ca="1" si="3"/>
        <v>6.8337398253079549</v>
      </c>
    </row>
    <row r="21" spans="1:10" x14ac:dyDescent="0.25">
      <c r="A21" s="53">
        <v>19</v>
      </c>
      <c r="B21" s="53">
        <f t="shared" ca="1" si="1"/>
        <v>531</v>
      </c>
      <c r="C21" s="53">
        <f t="shared" ca="1" si="1"/>
        <v>532</v>
      </c>
      <c r="D21" s="53">
        <f t="shared" ca="1" si="1"/>
        <v>541</v>
      </c>
      <c r="E21" s="53">
        <f t="shared" ca="1" si="1"/>
        <v>548</v>
      </c>
      <c r="F21" s="53">
        <f t="shared" ca="1" si="1"/>
        <v>546</v>
      </c>
      <c r="G21" s="53">
        <f t="shared" ca="1" si="2"/>
        <v>539.6</v>
      </c>
      <c r="H21" s="53">
        <v>558</v>
      </c>
      <c r="I21" s="53">
        <v>525</v>
      </c>
      <c r="J21" s="53">
        <f t="shared" ca="1" si="3"/>
        <v>7.8294316524253533</v>
      </c>
    </row>
    <row r="22" spans="1:10" x14ac:dyDescent="0.25">
      <c r="A22" s="53">
        <v>20</v>
      </c>
      <c r="B22" s="53">
        <f t="shared" ca="1" si="1"/>
        <v>534</v>
      </c>
      <c r="C22" s="53">
        <f t="shared" ca="1" si="1"/>
        <v>545</v>
      </c>
      <c r="D22" s="53">
        <f t="shared" ca="1" si="1"/>
        <v>532</v>
      </c>
      <c r="E22" s="53">
        <f t="shared" ca="1" si="1"/>
        <v>536</v>
      </c>
      <c r="F22" s="53">
        <f t="shared" ca="1" si="1"/>
        <v>550</v>
      </c>
      <c r="G22" s="53">
        <f t="shared" ca="1" si="2"/>
        <v>539.4</v>
      </c>
      <c r="H22" s="53">
        <v>558</v>
      </c>
      <c r="I22" s="53">
        <v>525</v>
      </c>
      <c r="J22" s="53">
        <f t="shared" ca="1" si="3"/>
        <v>7.7330459716724818</v>
      </c>
    </row>
    <row r="23" spans="1:10" x14ac:dyDescent="0.25">
      <c r="A23" s="53">
        <v>21</v>
      </c>
      <c r="B23" s="53">
        <f t="shared" ca="1" si="1"/>
        <v>531</v>
      </c>
      <c r="C23" s="53">
        <f t="shared" ca="1" si="1"/>
        <v>549</v>
      </c>
      <c r="D23" s="53">
        <f t="shared" ca="1" si="1"/>
        <v>537</v>
      </c>
      <c r="E23" s="53">
        <f t="shared" ca="1" si="1"/>
        <v>549</v>
      </c>
      <c r="F23" s="53">
        <f t="shared" ca="1" si="1"/>
        <v>531</v>
      </c>
      <c r="G23" s="53">
        <f t="shared" ca="1" si="2"/>
        <v>539.4</v>
      </c>
      <c r="H23" s="53">
        <v>558</v>
      </c>
      <c r="I23" s="53">
        <v>525</v>
      </c>
      <c r="J23" s="53">
        <f t="shared" ca="1" si="3"/>
        <v>9.0994505328618605</v>
      </c>
    </row>
    <row r="24" spans="1:10" x14ac:dyDescent="0.25">
      <c r="A24" s="53">
        <v>22</v>
      </c>
      <c r="B24" s="53">
        <f t="shared" ca="1" si="1"/>
        <v>547</v>
      </c>
      <c r="C24" s="53">
        <f t="shared" ca="1" si="1"/>
        <v>533</v>
      </c>
      <c r="D24" s="53">
        <f t="shared" ca="1" si="1"/>
        <v>544</v>
      </c>
      <c r="E24" s="53">
        <f t="shared" ca="1" si="1"/>
        <v>536</v>
      </c>
      <c r="F24" s="53">
        <f t="shared" ca="1" si="1"/>
        <v>538</v>
      </c>
      <c r="G24" s="53">
        <f t="shared" ca="1" si="2"/>
        <v>539.6</v>
      </c>
      <c r="H24" s="53">
        <v>558</v>
      </c>
      <c r="I24" s="53">
        <v>525</v>
      </c>
      <c r="J24" s="53">
        <f t="shared" ca="1" si="3"/>
        <v>5.770615218501403</v>
      </c>
    </row>
    <row r="25" spans="1:10" x14ac:dyDescent="0.25">
      <c r="A25" s="53">
        <v>23</v>
      </c>
      <c r="B25" s="53">
        <f t="shared" ca="1" si="1"/>
        <v>539</v>
      </c>
      <c r="C25" s="53">
        <f t="shared" ca="1" si="1"/>
        <v>535</v>
      </c>
      <c r="D25" s="53">
        <f t="shared" ca="1" si="1"/>
        <v>532</v>
      </c>
      <c r="E25" s="53">
        <f t="shared" ca="1" si="1"/>
        <v>541</v>
      </c>
      <c r="F25" s="53">
        <f t="shared" ca="1" si="1"/>
        <v>546</v>
      </c>
      <c r="G25" s="53">
        <f t="shared" ca="1" si="2"/>
        <v>538.6</v>
      </c>
      <c r="H25" s="53">
        <v>558</v>
      </c>
      <c r="I25" s="53">
        <v>525</v>
      </c>
      <c r="J25" s="53">
        <f t="shared" ca="1" si="3"/>
        <v>5.4129474410897434</v>
      </c>
    </row>
    <row r="26" spans="1:10" x14ac:dyDescent="0.25">
      <c r="A26" s="53">
        <v>24</v>
      </c>
      <c r="B26" s="53">
        <f t="shared" ca="1" si="1"/>
        <v>547</v>
      </c>
      <c r="C26" s="53">
        <f t="shared" ca="1" si="1"/>
        <v>541</v>
      </c>
      <c r="D26" s="53">
        <f t="shared" ca="1" si="1"/>
        <v>535</v>
      </c>
      <c r="E26" s="53">
        <f t="shared" ca="1" si="1"/>
        <v>530</v>
      </c>
      <c r="F26" s="53">
        <f t="shared" ca="1" si="1"/>
        <v>537</v>
      </c>
      <c r="G26" s="53">
        <f t="shared" ca="1" si="2"/>
        <v>538</v>
      </c>
      <c r="H26" s="53">
        <v>558</v>
      </c>
      <c r="I26" s="53">
        <v>525</v>
      </c>
      <c r="J26" s="53">
        <f t="shared" ca="1" si="3"/>
        <v>6.4031242374328485</v>
      </c>
    </row>
    <row r="27" spans="1:10" x14ac:dyDescent="0.25">
      <c r="A27" s="53">
        <v>25</v>
      </c>
      <c r="B27" s="53">
        <f t="shared" ca="1" si="1"/>
        <v>530</v>
      </c>
      <c r="C27" s="53">
        <f t="shared" ca="1" si="1"/>
        <v>544</v>
      </c>
      <c r="D27" s="53">
        <f t="shared" ca="1" si="1"/>
        <v>533</v>
      </c>
      <c r="E27" s="53">
        <f t="shared" ca="1" si="1"/>
        <v>531</v>
      </c>
      <c r="F27" s="53">
        <f t="shared" ca="1" si="1"/>
        <v>549</v>
      </c>
      <c r="G27" s="53">
        <f t="shared" ca="1" si="2"/>
        <v>537.4</v>
      </c>
      <c r="H27" s="53">
        <v>558</v>
      </c>
      <c r="I27" s="53">
        <v>525</v>
      </c>
      <c r="J27" s="53">
        <f t="shared" ca="1" si="3"/>
        <v>8.5615419172015965</v>
      </c>
    </row>
    <row r="28" spans="1:10" x14ac:dyDescent="0.25">
      <c r="A28" s="53">
        <v>26</v>
      </c>
      <c r="B28" s="53">
        <f t="shared" ca="1" si="1"/>
        <v>531</v>
      </c>
      <c r="C28" s="53">
        <f t="shared" ca="1" si="1"/>
        <v>536</v>
      </c>
      <c r="D28" s="53">
        <f t="shared" ca="1" si="1"/>
        <v>545</v>
      </c>
      <c r="E28" s="53">
        <f t="shared" ca="1" si="1"/>
        <v>544</v>
      </c>
      <c r="F28" s="53">
        <f t="shared" ca="1" si="1"/>
        <v>546</v>
      </c>
      <c r="G28" s="53">
        <f t="shared" ca="1" si="2"/>
        <v>540.4</v>
      </c>
      <c r="H28" s="53">
        <v>558</v>
      </c>
      <c r="I28" s="53">
        <v>525</v>
      </c>
      <c r="J28" s="53">
        <f t="shared" ca="1" si="3"/>
        <v>6.58027355054484</v>
      </c>
    </row>
    <row r="29" spans="1:10" x14ac:dyDescent="0.25">
      <c r="A29" s="53">
        <v>27</v>
      </c>
      <c r="B29" s="53">
        <f t="shared" ca="1" si="1"/>
        <v>541</v>
      </c>
      <c r="C29" s="53">
        <f t="shared" ca="1" si="1"/>
        <v>542</v>
      </c>
      <c r="D29" s="53">
        <f t="shared" ca="1" si="1"/>
        <v>536</v>
      </c>
      <c r="E29" s="53">
        <f t="shared" ca="1" si="1"/>
        <v>539</v>
      </c>
      <c r="F29" s="53">
        <f t="shared" ca="1" si="1"/>
        <v>533</v>
      </c>
      <c r="G29" s="53">
        <f t="shared" ca="1" si="2"/>
        <v>538.20000000000005</v>
      </c>
      <c r="H29" s="53">
        <v>558</v>
      </c>
      <c r="I29" s="53">
        <v>525</v>
      </c>
      <c r="J29" s="53">
        <f t="shared" ca="1" si="3"/>
        <v>3.7013511046643495</v>
      </c>
    </row>
    <row r="30" spans="1:10" x14ac:dyDescent="0.25">
      <c r="A30" s="53">
        <v>28</v>
      </c>
      <c r="B30" s="53">
        <f t="shared" ca="1" si="1"/>
        <v>545</v>
      </c>
      <c r="C30" s="53">
        <f t="shared" ca="1" si="1"/>
        <v>533</v>
      </c>
      <c r="D30" s="53">
        <f t="shared" ca="1" si="1"/>
        <v>542</v>
      </c>
      <c r="E30" s="53">
        <f t="shared" ca="1" si="1"/>
        <v>549</v>
      </c>
      <c r="F30" s="53">
        <f t="shared" ca="1" si="1"/>
        <v>548</v>
      </c>
      <c r="G30" s="53">
        <f t="shared" ca="1" si="2"/>
        <v>543.4</v>
      </c>
      <c r="H30" s="53">
        <v>558</v>
      </c>
      <c r="I30" s="53">
        <v>525</v>
      </c>
      <c r="J30" s="53">
        <f t="shared" ca="1" si="3"/>
        <v>6.4265076052238514</v>
      </c>
    </row>
    <row r="31" spans="1:10" x14ac:dyDescent="0.25">
      <c r="A31" s="53">
        <v>29</v>
      </c>
      <c r="B31" s="53">
        <f t="shared" ca="1" si="1"/>
        <v>549</v>
      </c>
      <c r="C31" s="53">
        <f t="shared" ca="1" si="1"/>
        <v>538</v>
      </c>
      <c r="D31" s="53">
        <f t="shared" ca="1" si="1"/>
        <v>534</v>
      </c>
      <c r="E31" s="53">
        <f t="shared" ca="1" si="1"/>
        <v>538</v>
      </c>
      <c r="F31" s="53">
        <f t="shared" ca="1" si="1"/>
        <v>535</v>
      </c>
      <c r="G31" s="53">
        <f t="shared" ca="1" si="2"/>
        <v>538.79999999999995</v>
      </c>
      <c r="H31" s="53">
        <v>558</v>
      </c>
      <c r="I31" s="53">
        <v>525</v>
      </c>
      <c r="J31" s="53">
        <f t="shared" ca="1" si="3"/>
        <v>5.9749476985158623</v>
      </c>
    </row>
    <row r="32" spans="1:10" x14ac:dyDescent="0.25">
      <c r="A32" s="53">
        <v>30</v>
      </c>
      <c r="B32" s="53">
        <f t="shared" ca="1" si="1"/>
        <v>544</v>
      </c>
      <c r="C32" s="53">
        <f t="shared" ca="1" si="1"/>
        <v>531</v>
      </c>
      <c r="D32" s="53">
        <f t="shared" ca="1" si="1"/>
        <v>548</v>
      </c>
      <c r="E32" s="53">
        <f t="shared" ca="1" si="1"/>
        <v>541</v>
      </c>
      <c r="F32" s="53">
        <f t="shared" ca="1" si="1"/>
        <v>534</v>
      </c>
      <c r="G32" s="53">
        <f t="shared" ca="1" si="2"/>
        <v>539.6</v>
      </c>
      <c r="H32" s="53">
        <v>558</v>
      </c>
      <c r="I32" s="53">
        <v>525</v>
      </c>
      <c r="J32" s="53">
        <f t="shared" ca="1" si="3"/>
        <v>7.0213958726167833</v>
      </c>
    </row>
    <row r="33" spans="6:10" x14ac:dyDescent="0.25">
      <c r="F33" s="53" t="s">
        <v>473</v>
      </c>
      <c r="G33" s="242">
        <f ca="1">AVERAGE(G3:G32)</f>
        <v>539.45999999999992</v>
      </c>
      <c r="I33" s="53" t="s">
        <v>474</v>
      </c>
      <c r="J33" s="242">
        <f ca="1">AVERAGE(J3:J32)</f>
        <v>6.5404795141844945</v>
      </c>
    </row>
  </sheetData>
  <mergeCells count="2">
    <mergeCell ref="A1:A2"/>
    <mergeCell ref="B1:F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46"/>
  <sheetViews>
    <sheetView workbookViewId="0">
      <selection activeCell="H14" sqref="H14"/>
    </sheetView>
  </sheetViews>
  <sheetFormatPr baseColWidth="10" defaultColWidth="10.7109375" defaultRowHeight="15" x14ac:dyDescent="0.25"/>
  <cols>
    <col min="1" max="1" width="13" customWidth="1"/>
    <col min="2" max="2" width="22.7109375" customWidth="1"/>
    <col min="3" max="3" width="19.5703125" bestFit="1" customWidth="1"/>
    <col min="4" max="4" width="13.140625" bestFit="1" customWidth="1"/>
    <col min="5" max="5" width="19.28515625" customWidth="1"/>
    <col min="6" max="6" width="13.5703125" bestFit="1" customWidth="1"/>
  </cols>
  <sheetData>
    <row r="1" spans="1:11" x14ac:dyDescent="0.25">
      <c r="A1" s="661" t="s">
        <v>475</v>
      </c>
      <c r="B1" s="661"/>
      <c r="C1" s="661"/>
      <c r="D1" s="661"/>
      <c r="E1" s="661"/>
      <c r="F1" s="661"/>
      <c r="G1" s="661"/>
      <c r="H1" s="661"/>
      <c r="I1" s="661"/>
      <c r="J1" s="661"/>
      <c r="K1" s="661"/>
    </row>
    <row r="2" spans="1:11" x14ac:dyDescent="0.25">
      <c r="A2" s="661"/>
      <c r="B2" s="661"/>
      <c r="C2" s="661"/>
      <c r="D2" s="661"/>
      <c r="E2" s="661"/>
      <c r="F2" s="661"/>
      <c r="G2" s="661"/>
      <c r="H2" s="661"/>
      <c r="I2" s="661"/>
      <c r="J2" s="661"/>
      <c r="K2" s="661"/>
    </row>
    <row r="4" spans="1:11" x14ac:dyDescent="0.25">
      <c r="B4" s="244" t="s">
        <v>476</v>
      </c>
      <c r="C4" s="58">
        <v>10</v>
      </c>
      <c r="D4" s="59"/>
      <c r="E4" s="244" t="s">
        <v>476</v>
      </c>
      <c r="F4" s="59">
        <v>8</v>
      </c>
    </row>
    <row r="5" spans="1:11" x14ac:dyDescent="0.25">
      <c r="B5" s="244" t="s">
        <v>477</v>
      </c>
      <c r="C5" s="59" t="s">
        <v>478</v>
      </c>
      <c r="D5" s="59"/>
      <c r="E5" s="244" t="s">
        <v>477</v>
      </c>
      <c r="F5" s="59" t="s">
        <v>478</v>
      </c>
    </row>
    <row r="7" spans="1:11" x14ac:dyDescent="0.25">
      <c r="B7" t="s">
        <v>479</v>
      </c>
      <c r="C7" t="s">
        <v>480</v>
      </c>
      <c r="F7" s="171" t="s">
        <v>481</v>
      </c>
      <c r="H7" t="s">
        <v>796</v>
      </c>
    </row>
    <row r="8" spans="1:11" x14ac:dyDescent="0.25">
      <c r="C8" s="245" t="s">
        <v>482</v>
      </c>
      <c r="F8" s="171" t="s">
        <v>483</v>
      </c>
    </row>
    <row r="9" spans="1:11" s="246" customFormat="1" x14ac:dyDescent="0.25"/>
    <row r="10" spans="1:11" x14ac:dyDescent="0.25">
      <c r="A10" s="59" t="s">
        <v>484</v>
      </c>
    </row>
    <row r="11" spans="1:11" x14ac:dyDescent="0.25">
      <c r="A11" s="59"/>
    </row>
    <row r="12" spans="1:11" x14ac:dyDescent="0.25">
      <c r="B12" s="247" t="s">
        <v>485</v>
      </c>
      <c r="C12" s="247" t="s">
        <v>486</v>
      </c>
      <c r="D12" s="247" t="s">
        <v>487</v>
      </c>
      <c r="E12" s="247" t="s">
        <v>488</v>
      </c>
    </row>
    <row r="13" spans="1:11" x14ac:dyDescent="0.25">
      <c r="B13" s="53">
        <v>1</v>
      </c>
      <c r="C13" s="53">
        <v>10</v>
      </c>
      <c r="D13" s="53">
        <v>1500</v>
      </c>
      <c r="E13" s="248">
        <f>D13/C13</f>
        <v>150</v>
      </c>
    </row>
    <row r="14" spans="1:11" x14ac:dyDescent="0.25">
      <c r="B14" s="53">
        <v>2</v>
      </c>
      <c r="C14" s="53">
        <v>8</v>
      </c>
      <c r="D14" s="53">
        <v>750</v>
      </c>
      <c r="E14" s="243">
        <f t="shared" ref="E14:E16" si="0">D14/C14</f>
        <v>93.75</v>
      </c>
    </row>
    <row r="15" spans="1:11" x14ac:dyDescent="0.25">
      <c r="B15" s="53">
        <v>3</v>
      </c>
      <c r="C15" s="53">
        <v>12</v>
      </c>
      <c r="D15" s="53">
        <v>980</v>
      </c>
      <c r="E15" s="243">
        <f t="shared" si="0"/>
        <v>81.666666666666671</v>
      </c>
    </row>
    <row r="16" spans="1:11" x14ac:dyDescent="0.25">
      <c r="B16" s="53">
        <v>4</v>
      </c>
      <c r="C16" s="53">
        <v>3</v>
      </c>
      <c r="D16" s="53">
        <v>350</v>
      </c>
      <c r="E16" s="243">
        <f t="shared" si="0"/>
        <v>116.66666666666667</v>
      </c>
    </row>
    <row r="18" spans="1:6" s="246" customFormat="1" x14ac:dyDescent="0.25"/>
    <row r="19" spans="1:6" x14ac:dyDescent="0.25">
      <c r="A19" s="59" t="s">
        <v>489</v>
      </c>
    </row>
    <row r="21" spans="1:6" x14ac:dyDescent="0.25">
      <c r="B21" s="247" t="s">
        <v>490</v>
      </c>
      <c r="C21" s="247" t="s">
        <v>491</v>
      </c>
      <c r="D21" s="247" t="s">
        <v>492</v>
      </c>
      <c r="E21" s="247" t="s">
        <v>493</v>
      </c>
      <c r="F21" s="247" t="s">
        <v>488</v>
      </c>
    </row>
    <row r="22" spans="1:6" x14ac:dyDescent="0.25">
      <c r="B22" s="53">
        <v>1</v>
      </c>
      <c r="C22" s="53" t="s">
        <v>494</v>
      </c>
      <c r="D22" s="53">
        <v>24</v>
      </c>
      <c r="E22" s="53">
        <v>68</v>
      </c>
      <c r="F22" s="243">
        <f>E22/(2*D22)</f>
        <v>1.4166666666666667</v>
      </c>
    </row>
    <row r="23" spans="1:6" x14ac:dyDescent="0.25">
      <c r="B23" s="53">
        <v>2</v>
      </c>
      <c r="C23" s="53" t="s">
        <v>495</v>
      </c>
      <c r="D23" s="53">
        <v>46</v>
      </c>
      <c r="E23" s="53">
        <v>130</v>
      </c>
      <c r="F23" s="243">
        <f t="shared" ref="F23:F26" si="1">E23/(2*D23)</f>
        <v>1.4130434782608696</v>
      </c>
    </row>
    <row r="24" spans="1:6" x14ac:dyDescent="0.25">
      <c r="B24" s="53">
        <v>3</v>
      </c>
      <c r="C24" s="53" t="s">
        <v>496</v>
      </c>
      <c r="D24" s="53">
        <v>62</v>
      </c>
      <c r="E24" s="53">
        <v>152</v>
      </c>
      <c r="F24" s="243">
        <f t="shared" si="1"/>
        <v>1.2258064516129032</v>
      </c>
    </row>
    <row r="25" spans="1:6" x14ac:dyDescent="0.25">
      <c r="B25" s="53">
        <v>4</v>
      </c>
      <c r="C25" s="53" t="s">
        <v>496</v>
      </c>
      <c r="D25" s="53">
        <v>51</v>
      </c>
      <c r="E25" s="53">
        <v>125</v>
      </c>
      <c r="F25" s="243">
        <f t="shared" si="1"/>
        <v>1.2254901960784315</v>
      </c>
    </row>
    <row r="26" spans="1:6" x14ac:dyDescent="0.25">
      <c r="B26" s="53">
        <v>5</v>
      </c>
      <c r="C26" s="53" t="s">
        <v>497</v>
      </c>
      <c r="D26" s="53">
        <v>45</v>
      </c>
      <c r="E26" s="53">
        <v>131</v>
      </c>
      <c r="F26" s="248">
        <f t="shared" si="1"/>
        <v>1.4555555555555555</v>
      </c>
    </row>
    <row r="28" spans="1:6" s="246" customFormat="1" x14ac:dyDescent="0.25"/>
    <row r="29" spans="1:6" x14ac:dyDescent="0.25">
      <c r="A29" s="59" t="s">
        <v>498</v>
      </c>
    </row>
    <row r="30" spans="1:6" x14ac:dyDescent="0.25">
      <c r="A30" s="59" t="s">
        <v>499</v>
      </c>
    </row>
    <row r="32" spans="1:6" x14ac:dyDescent="0.25">
      <c r="B32" s="170" t="s">
        <v>500</v>
      </c>
    </row>
    <row r="34" spans="1:5" x14ac:dyDescent="0.25">
      <c r="A34" s="249" t="s">
        <v>479</v>
      </c>
      <c r="B34" s="250">
        <f>600/(3*5*8)</f>
        <v>5</v>
      </c>
      <c r="D34" s="251"/>
    </row>
    <row r="36" spans="1:5" s="246" customFormat="1" x14ac:dyDescent="0.25"/>
    <row r="37" spans="1:5" x14ac:dyDescent="0.25">
      <c r="A37" s="59" t="s">
        <v>501</v>
      </c>
    </row>
    <row r="38" spans="1:5" x14ac:dyDescent="0.25">
      <c r="A38" s="59" t="s">
        <v>502</v>
      </c>
    </row>
    <row r="39" spans="1:5" x14ac:dyDescent="0.25">
      <c r="A39" s="59"/>
    </row>
    <row r="40" spans="1:5" x14ac:dyDescent="0.25">
      <c r="B40" s="170" t="s">
        <v>503</v>
      </c>
    </row>
    <row r="43" spans="1:5" x14ac:dyDescent="0.25">
      <c r="A43" s="6" t="s">
        <v>504</v>
      </c>
      <c r="B43" s="252">
        <f>400*10</f>
        <v>4000</v>
      </c>
      <c r="C43" s="253" t="s">
        <v>479</v>
      </c>
      <c r="D43" s="254">
        <f>B43/B44</f>
        <v>2.3529411764705883</v>
      </c>
      <c r="E43" s="59" t="s">
        <v>505</v>
      </c>
    </row>
    <row r="44" spans="1:5" x14ac:dyDescent="0.25">
      <c r="A44" s="255" t="s">
        <v>506</v>
      </c>
      <c r="B44" s="252">
        <f>400+1000+300</f>
        <v>1700</v>
      </c>
    </row>
    <row r="46" spans="1:5" s="256" customFormat="1" x14ac:dyDescent="0.25"/>
  </sheetData>
  <mergeCells count="1">
    <mergeCell ref="A1:K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U47"/>
  <sheetViews>
    <sheetView topLeftCell="A25" workbookViewId="0">
      <selection activeCell="K18" sqref="K18"/>
    </sheetView>
  </sheetViews>
  <sheetFormatPr baseColWidth="10" defaultColWidth="10.7109375" defaultRowHeight="15" x14ac:dyDescent="0.25"/>
  <cols>
    <col min="2" max="2" width="24.5703125" customWidth="1"/>
    <col min="3" max="3" width="16" customWidth="1"/>
    <col min="4" max="4" width="13.140625" customWidth="1"/>
    <col min="6" max="6" width="13.7109375" customWidth="1"/>
    <col min="7" max="7" width="19.7109375" customWidth="1"/>
    <col min="8" max="8" width="12.5703125" bestFit="1" customWidth="1"/>
    <col min="9" max="9" width="12.42578125" customWidth="1"/>
  </cols>
  <sheetData>
    <row r="2" spans="1:21" x14ac:dyDescent="0.25">
      <c r="A2" s="662" t="s">
        <v>843</v>
      </c>
      <c r="B2" s="662"/>
      <c r="C2" s="662"/>
      <c r="D2" s="662"/>
      <c r="E2" s="662"/>
      <c r="F2" s="662"/>
      <c r="G2" s="662"/>
      <c r="H2" s="662"/>
      <c r="I2" s="662"/>
      <c r="J2" s="662"/>
      <c r="K2" s="662"/>
      <c r="L2" s="662"/>
      <c r="M2" s="662"/>
      <c r="N2" s="662"/>
      <c r="O2" s="662"/>
      <c r="P2" s="662"/>
      <c r="Q2" s="662"/>
      <c r="R2" s="662"/>
      <c r="S2" s="662"/>
      <c r="T2" s="662"/>
      <c r="U2" s="662"/>
    </row>
    <row r="3" spans="1:21" x14ac:dyDescent="0.25">
      <c r="A3" s="662"/>
      <c r="B3" s="662"/>
      <c r="C3" s="662"/>
      <c r="D3" s="662"/>
      <c r="E3" s="662"/>
      <c r="F3" s="662"/>
      <c r="G3" s="662"/>
      <c r="H3" s="662"/>
      <c r="I3" s="662"/>
      <c r="J3" s="662"/>
      <c r="K3" s="662"/>
      <c r="L3" s="662"/>
      <c r="M3" s="662"/>
      <c r="N3" s="662"/>
      <c r="O3" s="662"/>
      <c r="P3" s="662"/>
      <c r="Q3" s="662"/>
      <c r="R3" s="662"/>
      <c r="S3" s="662"/>
      <c r="T3" s="662"/>
      <c r="U3" s="662"/>
    </row>
    <row r="5" spans="1:21" ht="21" x14ac:dyDescent="0.35">
      <c r="A5" s="23" t="s">
        <v>507</v>
      </c>
      <c r="B5" s="59" t="s">
        <v>508</v>
      </c>
    </row>
    <row r="7" spans="1:21" x14ac:dyDescent="0.25">
      <c r="B7" s="59" t="s">
        <v>509</v>
      </c>
    </row>
    <row r="9" spans="1:21" ht="30" x14ac:dyDescent="0.25">
      <c r="B9" s="332" t="s">
        <v>510</v>
      </c>
      <c r="C9" s="333" t="s">
        <v>511</v>
      </c>
      <c r="D9" s="332" t="s">
        <v>512</v>
      </c>
      <c r="E9" s="332" t="s">
        <v>513</v>
      </c>
      <c r="F9" s="334" t="s">
        <v>514</v>
      </c>
      <c r="G9" s="334" t="s">
        <v>515</v>
      </c>
      <c r="H9" s="334" t="s">
        <v>516</v>
      </c>
      <c r="I9" s="334" t="s">
        <v>517</v>
      </c>
      <c r="J9" s="334" t="s">
        <v>518</v>
      </c>
      <c r="K9" s="334" t="s">
        <v>519</v>
      </c>
    </row>
    <row r="10" spans="1:21" x14ac:dyDescent="0.25">
      <c r="B10" s="6">
        <v>3</v>
      </c>
      <c r="C10" s="6">
        <v>10</v>
      </c>
      <c r="D10" s="6">
        <v>25</v>
      </c>
      <c r="E10" s="6">
        <v>16</v>
      </c>
      <c r="F10" s="257">
        <f>B10*C10*60*D10*E10</f>
        <v>720000</v>
      </c>
      <c r="G10" s="6">
        <v>0.9</v>
      </c>
      <c r="H10" s="257">
        <f>F10*G10</f>
        <v>648000</v>
      </c>
      <c r="I10" s="257">
        <v>170500</v>
      </c>
      <c r="J10" s="258">
        <f>I10/F10</f>
        <v>0.23680555555555555</v>
      </c>
      <c r="K10" s="258">
        <f>I10/H10</f>
        <v>0.26311728395061729</v>
      </c>
    </row>
    <row r="12" spans="1:21" ht="30" x14ac:dyDescent="0.25">
      <c r="B12" s="332" t="s">
        <v>510</v>
      </c>
      <c r="C12" s="333" t="s">
        <v>511</v>
      </c>
      <c r="D12" s="332" t="s">
        <v>512</v>
      </c>
      <c r="E12" s="332" t="s">
        <v>513</v>
      </c>
      <c r="F12" s="334" t="s">
        <v>514</v>
      </c>
      <c r="G12" s="334" t="s">
        <v>515</v>
      </c>
      <c r="H12" s="334" t="s">
        <v>516</v>
      </c>
      <c r="I12" s="334" t="s">
        <v>517</v>
      </c>
      <c r="J12" s="334" t="s">
        <v>518</v>
      </c>
      <c r="K12" s="334" t="s">
        <v>519</v>
      </c>
    </row>
    <row r="13" spans="1:21" x14ac:dyDescent="0.25">
      <c r="B13" s="6">
        <v>2</v>
      </c>
      <c r="C13" s="6">
        <v>10</v>
      </c>
      <c r="D13" s="6">
        <v>25</v>
      </c>
      <c r="E13" s="6">
        <v>8</v>
      </c>
      <c r="F13" s="257">
        <f>B13*C13*60*D13*E13</f>
        <v>240000</v>
      </c>
      <c r="G13" s="6">
        <v>0.9</v>
      </c>
      <c r="H13" s="257">
        <f>F13*G13</f>
        <v>216000</v>
      </c>
      <c r="I13" s="257">
        <v>170500</v>
      </c>
      <c r="J13" s="258">
        <f>I13/F13</f>
        <v>0.7104166666666667</v>
      </c>
      <c r="K13" s="258">
        <f>I13/H13</f>
        <v>0.78935185185185186</v>
      </c>
    </row>
    <row r="17" spans="1:11" x14ac:dyDescent="0.25">
      <c r="C17" t="s">
        <v>520</v>
      </c>
    </row>
    <row r="19" spans="1:11" x14ac:dyDescent="0.25">
      <c r="C19" t="s">
        <v>521</v>
      </c>
    </row>
    <row r="22" spans="1:11" ht="21" x14ac:dyDescent="0.35">
      <c r="A22" s="23" t="s">
        <v>522</v>
      </c>
      <c r="B22" s="59" t="s">
        <v>523</v>
      </c>
    </row>
    <row r="24" spans="1:11" x14ac:dyDescent="0.25">
      <c r="B24" s="59" t="s">
        <v>524</v>
      </c>
    </row>
    <row r="26" spans="1:11" s="259" customFormat="1" ht="30" x14ac:dyDescent="0.25">
      <c r="B26" s="336" t="s">
        <v>525</v>
      </c>
      <c r="C26" s="336" t="s">
        <v>519</v>
      </c>
      <c r="D26" s="336" t="s">
        <v>526</v>
      </c>
      <c r="E26" s="336" t="s">
        <v>527</v>
      </c>
      <c r="F26" s="336" t="s">
        <v>528</v>
      </c>
      <c r="G26" s="336" t="s">
        <v>516</v>
      </c>
      <c r="H26" s="260"/>
      <c r="I26" s="260"/>
    </row>
    <row r="27" spans="1:11" x14ac:dyDescent="0.25">
      <c r="B27" s="6">
        <v>720</v>
      </c>
      <c r="C27" s="6">
        <v>0.8</v>
      </c>
      <c r="D27" s="6">
        <v>6</v>
      </c>
      <c r="E27" s="6">
        <v>8</v>
      </c>
      <c r="F27" s="257">
        <f>B27*E27*D27</f>
        <v>34560</v>
      </c>
      <c r="G27" s="257">
        <f>B27*C27*D27*E27</f>
        <v>27648</v>
      </c>
      <c r="H27" s="80"/>
      <c r="I27" s="80"/>
    </row>
    <row r="30" spans="1:11" ht="21" x14ac:dyDescent="0.35">
      <c r="A30" s="23" t="s">
        <v>529</v>
      </c>
      <c r="B30" s="59" t="s">
        <v>530</v>
      </c>
    </row>
    <row r="31" spans="1:11" ht="21" x14ac:dyDescent="0.35">
      <c r="A31" s="23"/>
      <c r="B31" s="59" t="s">
        <v>531</v>
      </c>
    </row>
    <row r="32" spans="1:11" s="261" customFormat="1" ht="60" x14ac:dyDescent="0.25">
      <c r="B32" s="335" t="s">
        <v>532</v>
      </c>
      <c r="C32" s="335" t="s">
        <v>533</v>
      </c>
      <c r="D32" s="335" t="s">
        <v>534</v>
      </c>
      <c r="E32" s="335" t="s">
        <v>476</v>
      </c>
      <c r="F32" s="335" t="s">
        <v>535</v>
      </c>
      <c r="G32" s="335" t="s">
        <v>536</v>
      </c>
      <c r="H32" s="335" t="s">
        <v>537</v>
      </c>
      <c r="I32" s="335" t="s">
        <v>538</v>
      </c>
      <c r="J32" s="335" t="s">
        <v>539</v>
      </c>
      <c r="K32" s="335" t="s">
        <v>540</v>
      </c>
    </row>
    <row r="33" spans="2:11" s="54" customFormat="1" x14ac:dyDescent="0.25">
      <c r="B33" s="53" t="s">
        <v>117</v>
      </c>
      <c r="C33" s="53">
        <v>50000</v>
      </c>
      <c r="D33" s="53">
        <v>680</v>
      </c>
      <c r="E33" s="53">
        <v>10</v>
      </c>
      <c r="F33" s="53">
        <v>1000</v>
      </c>
      <c r="G33" s="53">
        <v>0.5</v>
      </c>
      <c r="H33" s="53">
        <f>C33/F33</f>
        <v>50</v>
      </c>
      <c r="I33" s="53">
        <f>H33*G33</f>
        <v>25</v>
      </c>
      <c r="J33" s="243">
        <f>C33/D33</f>
        <v>73.529411764705884</v>
      </c>
      <c r="K33" s="243">
        <f>J33+I33</f>
        <v>98.529411764705884</v>
      </c>
    </row>
    <row r="34" spans="2:11" s="54" customFormat="1" x14ac:dyDescent="0.25">
      <c r="B34" s="53" t="s">
        <v>118</v>
      </c>
      <c r="C34" s="53">
        <v>68000</v>
      </c>
      <c r="D34" s="53">
        <v>750</v>
      </c>
      <c r="E34" s="53">
        <v>10</v>
      </c>
      <c r="F34" s="53">
        <v>1200</v>
      </c>
      <c r="G34" s="53">
        <v>1</v>
      </c>
      <c r="H34" s="262">
        <v>57</v>
      </c>
      <c r="I34" s="53">
        <f t="shared" ref="I34:I35" si="0">H34*G34</f>
        <v>57</v>
      </c>
      <c r="J34" s="243">
        <f t="shared" ref="J34:J35" si="1">C34/D34</f>
        <v>90.666666666666671</v>
      </c>
      <c r="K34" s="243">
        <f t="shared" ref="K34:K35" si="2">J34+I34</f>
        <v>147.66666666666669</v>
      </c>
    </row>
    <row r="35" spans="2:11" s="54" customFormat="1" x14ac:dyDescent="0.25">
      <c r="B35" s="53" t="s">
        <v>119</v>
      </c>
      <c r="C35" s="53">
        <v>122000</v>
      </c>
      <c r="D35" s="53">
        <v>900</v>
      </c>
      <c r="E35" s="53">
        <v>10</v>
      </c>
      <c r="F35" s="53">
        <v>10000</v>
      </c>
      <c r="G35" s="53">
        <v>1.25</v>
      </c>
      <c r="H35" s="53">
        <v>12</v>
      </c>
      <c r="I35" s="53">
        <f t="shared" si="0"/>
        <v>15</v>
      </c>
      <c r="J35" s="243">
        <f t="shared" si="1"/>
        <v>135.55555555555554</v>
      </c>
      <c r="K35" s="243">
        <f t="shared" si="2"/>
        <v>150.55555555555554</v>
      </c>
    </row>
    <row r="36" spans="2:11" x14ac:dyDescent="0.25">
      <c r="K36" s="263">
        <f>SUM(K33:K35)</f>
        <v>396.75163398692814</v>
      </c>
    </row>
    <row r="37" spans="2:11" x14ac:dyDescent="0.25">
      <c r="B37" s="264" t="s">
        <v>541</v>
      </c>
      <c r="C37" s="265">
        <f>K36</f>
        <v>396.75163398692814</v>
      </c>
      <c r="K37" s="263"/>
    </row>
    <row r="38" spans="2:11" x14ac:dyDescent="0.25">
      <c r="K38" s="263"/>
    </row>
    <row r="39" spans="2:11" s="13" customFormat="1" ht="30" x14ac:dyDescent="0.25">
      <c r="B39" s="337" t="s">
        <v>542</v>
      </c>
      <c r="C39" s="337" t="s">
        <v>543</v>
      </c>
      <c r="D39" s="337" t="s">
        <v>544</v>
      </c>
      <c r="E39" s="338" t="s">
        <v>545</v>
      </c>
      <c r="F39" s="339" t="s">
        <v>519</v>
      </c>
      <c r="G39" s="338" t="s">
        <v>546</v>
      </c>
      <c r="H39" s="339" t="s">
        <v>518</v>
      </c>
      <c r="I39" s="339" t="s">
        <v>519</v>
      </c>
      <c r="K39" s="266"/>
    </row>
    <row r="40" spans="2:11" s="54" customFormat="1" x14ac:dyDescent="0.25">
      <c r="B40" s="53">
        <v>4</v>
      </c>
      <c r="C40" s="53">
        <v>6</v>
      </c>
      <c r="D40" s="53">
        <v>24</v>
      </c>
      <c r="E40" s="53">
        <f>B40*D40*C40</f>
        <v>576</v>
      </c>
      <c r="F40" s="53">
        <v>0.85</v>
      </c>
      <c r="G40" s="53">
        <f>E40*F40</f>
        <v>489.59999999999997</v>
      </c>
      <c r="H40" s="173">
        <f>C37/E40</f>
        <v>0.68880492011619465</v>
      </c>
      <c r="I40" s="173">
        <f>C37/G40</f>
        <v>0.81035872954846444</v>
      </c>
      <c r="K40" s="267"/>
    </row>
    <row r="41" spans="2:11" x14ac:dyDescent="0.25">
      <c r="K41" s="263"/>
    </row>
    <row r="42" spans="2:11" x14ac:dyDescent="0.25">
      <c r="K42" s="263"/>
    </row>
    <row r="43" spans="2:11" x14ac:dyDescent="0.25">
      <c r="G43" s="59" t="s">
        <v>547</v>
      </c>
      <c r="K43" s="263"/>
    </row>
    <row r="44" spans="2:11" x14ac:dyDescent="0.25">
      <c r="F44" s="268" t="s">
        <v>548</v>
      </c>
      <c r="G44" s="59" t="s">
        <v>549</v>
      </c>
      <c r="K44" s="263"/>
    </row>
    <row r="45" spans="2:11" x14ac:dyDescent="0.25">
      <c r="K45" s="263"/>
    </row>
    <row r="46" spans="2:11" x14ac:dyDescent="0.25">
      <c r="B46" s="59" t="s">
        <v>550</v>
      </c>
    </row>
    <row r="47" spans="2:11" x14ac:dyDescent="0.25">
      <c r="B47" s="269" t="s">
        <v>551</v>
      </c>
    </row>
  </sheetData>
  <mergeCells count="1">
    <mergeCell ref="A2:U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M63"/>
  <sheetViews>
    <sheetView topLeftCell="A19" zoomScale="84" zoomScaleNormal="84" workbookViewId="0">
      <selection activeCell="L58" sqref="L58"/>
    </sheetView>
  </sheetViews>
  <sheetFormatPr baseColWidth="10" defaultColWidth="11.42578125" defaultRowHeight="15" x14ac:dyDescent="0.25"/>
  <cols>
    <col min="1" max="2" width="11.42578125" style="58"/>
    <col min="3" max="3" width="22.85546875" style="58" customWidth="1"/>
    <col min="4" max="4" width="12.5703125" style="58" customWidth="1"/>
    <col min="5" max="6" width="11.42578125" style="58"/>
    <col min="7" max="7" width="16.140625" style="58" customWidth="1"/>
    <col min="8" max="8" width="11.42578125" style="58"/>
    <col min="9" max="9" width="12.42578125" style="58" customWidth="1"/>
    <col min="10" max="10" width="11.42578125" style="58"/>
    <col min="11" max="11" width="20.42578125" style="58" customWidth="1"/>
    <col min="12" max="12" width="12.5703125" style="58" bestFit="1" customWidth="1"/>
    <col min="13" max="13" width="17.5703125" style="58" bestFit="1" customWidth="1"/>
    <col min="14" max="15" width="11.42578125" style="58"/>
    <col min="16" max="16" width="13.28515625" style="58" bestFit="1" customWidth="1"/>
    <col min="17" max="16384" width="11.42578125" style="58"/>
  </cols>
  <sheetData>
    <row r="1" spans="2:9" s="270" customFormat="1" x14ac:dyDescent="0.25"/>
    <row r="3" spans="2:9" s="272" customFormat="1" ht="30.75" thickBot="1" x14ac:dyDescent="0.3">
      <c r="B3" s="271" t="s">
        <v>297</v>
      </c>
      <c r="C3" s="271" t="s">
        <v>355</v>
      </c>
      <c r="D3" s="271" t="s">
        <v>552</v>
      </c>
      <c r="E3" s="271" t="s">
        <v>553</v>
      </c>
    </row>
    <row r="4" spans="2:9" x14ac:dyDescent="0.25">
      <c r="B4" s="58">
        <v>1</v>
      </c>
      <c r="C4" s="58" t="s">
        <v>554</v>
      </c>
      <c r="D4" s="58">
        <v>1.8</v>
      </c>
      <c r="E4" s="273">
        <f>60/D4</f>
        <v>33.333333333333336</v>
      </c>
    </row>
    <row r="5" spans="2:9" x14ac:dyDescent="0.25">
      <c r="B5" s="58">
        <v>2</v>
      </c>
      <c r="C5" s="58" t="s">
        <v>555</v>
      </c>
      <c r="D5" s="58">
        <v>3.8</v>
      </c>
      <c r="E5" s="273">
        <f t="shared" ref="E5:E9" si="0">60/D5</f>
        <v>15.789473684210527</v>
      </c>
    </row>
    <row r="6" spans="2:9" x14ac:dyDescent="0.25">
      <c r="B6" s="58">
        <v>3</v>
      </c>
      <c r="C6" s="58" t="s">
        <v>556</v>
      </c>
      <c r="D6" s="58">
        <v>4</v>
      </c>
      <c r="E6" s="273">
        <f t="shared" si="0"/>
        <v>15</v>
      </c>
    </row>
    <row r="7" spans="2:9" x14ac:dyDescent="0.25">
      <c r="B7" s="58">
        <v>4</v>
      </c>
      <c r="C7" s="58" t="s">
        <v>557</v>
      </c>
      <c r="D7" s="58">
        <v>4.3</v>
      </c>
      <c r="E7" s="273">
        <f t="shared" si="0"/>
        <v>13.953488372093023</v>
      </c>
    </row>
    <row r="8" spans="2:9" x14ac:dyDescent="0.25">
      <c r="B8" s="58">
        <v>5</v>
      </c>
      <c r="C8" s="58" t="s">
        <v>558</v>
      </c>
      <c r="D8" s="58">
        <v>2</v>
      </c>
      <c r="E8" s="273">
        <f t="shared" si="0"/>
        <v>30</v>
      </c>
    </row>
    <row r="9" spans="2:9" x14ac:dyDescent="0.25">
      <c r="B9" s="58">
        <v>6</v>
      </c>
      <c r="C9" s="58" t="s">
        <v>559</v>
      </c>
      <c r="D9" s="58">
        <v>1.7</v>
      </c>
      <c r="E9" s="273">
        <f t="shared" si="0"/>
        <v>35.294117647058826</v>
      </c>
    </row>
    <row r="13" spans="2:9" x14ac:dyDescent="0.25">
      <c r="B13" s="58" t="s">
        <v>560</v>
      </c>
      <c r="D13" s="58" t="s">
        <v>561</v>
      </c>
      <c r="F13" s="58" t="s">
        <v>562</v>
      </c>
    </row>
    <row r="15" spans="2:9" x14ac:dyDescent="0.25">
      <c r="I15" s="274" t="s">
        <v>563</v>
      </c>
    </row>
    <row r="16" spans="2:9" x14ac:dyDescent="0.25">
      <c r="I16" s="59" t="s">
        <v>564</v>
      </c>
    </row>
    <row r="17" spans="9:9" x14ac:dyDescent="0.25">
      <c r="I17" s="59" t="s">
        <v>565</v>
      </c>
    </row>
    <row r="18" spans="9:9" x14ac:dyDescent="0.25">
      <c r="I18" s="59" t="s">
        <v>566</v>
      </c>
    </row>
    <row r="19" spans="9:9" x14ac:dyDescent="0.25">
      <c r="I19" s="59" t="s">
        <v>567</v>
      </c>
    </row>
    <row r="20" spans="9:9" x14ac:dyDescent="0.25">
      <c r="I20" s="59" t="s">
        <v>568</v>
      </c>
    </row>
    <row r="35" spans="2:13" ht="30.75" thickBot="1" x14ac:dyDescent="0.3">
      <c r="B35" s="271" t="s">
        <v>297</v>
      </c>
      <c r="C35" s="271" t="s">
        <v>355</v>
      </c>
      <c r="D35" s="271" t="s">
        <v>552</v>
      </c>
      <c r="E35" s="271" t="s">
        <v>553</v>
      </c>
      <c r="F35" s="271" t="s">
        <v>476</v>
      </c>
      <c r="G35" s="271" t="s">
        <v>569</v>
      </c>
      <c r="H35" s="271"/>
      <c r="I35" s="271" t="s">
        <v>570</v>
      </c>
    </row>
    <row r="36" spans="2:13" x14ac:dyDescent="0.25">
      <c r="B36" s="58">
        <v>1</v>
      </c>
      <c r="C36" s="58" t="s">
        <v>554</v>
      </c>
      <c r="D36" s="58">
        <v>1.8</v>
      </c>
      <c r="E36" s="273">
        <f>60/D36</f>
        <v>33.333333333333336</v>
      </c>
      <c r="F36" s="58">
        <v>1</v>
      </c>
      <c r="G36" s="273">
        <f>E36*F36</f>
        <v>33.333333333333336</v>
      </c>
      <c r="H36" s="58">
        <f>D36/F36</f>
        <v>1.8</v>
      </c>
      <c r="I36" s="58">
        <f>MAX($H$36:$H$41)</f>
        <v>4.3</v>
      </c>
      <c r="K36" s="275" t="s">
        <v>571</v>
      </c>
      <c r="L36" s="276">
        <f>MIN(G36:G41)*60</f>
        <v>837.20930232558135</v>
      </c>
      <c r="M36" s="46" t="s">
        <v>572</v>
      </c>
    </row>
    <row r="37" spans="2:13" x14ac:dyDescent="0.25">
      <c r="B37" s="58">
        <v>2</v>
      </c>
      <c r="C37" s="58" t="s">
        <v>555</v>
      </c>
      <c r="D37" s="58">
        <v>3.8</v>
      </c>
      <c r="E37" s="273">
        <f t="shared" ref="E37:E41" si="1">60/D37</f>
        <v>15.789473684210527</v>
      </c>
      <c r="F37" s="58">
        <v>1</v>
      </c>
      <c r="G37" s="273">
        <f t="shared" ref="G37:G41" si="2">E37*F37</f>
        <v>15.789473684210527</v>
      </c>
      <c r="H37" s="58">
        <f t="shared" ref="H37:H41" si="3">D37/F37</f>
        <v>3.8</v>
      </c>
      <c r="I37" s="58">
        <f t="shared" ref="I37:I41" si="4">MAX($H$36:$H$41)</f>
        <v>4.3</v>
      </c>
      <c r="K37" s="275" t="s">
        <v>573</v>
      </c>
      <c r="L37" s="277">
        <f>12000/L36</f>
        <v>14.333333333333334</v>
      </c>
      <c r="M37" s="46" t="s">
        <v>574</v>
      </c>
    </row>
    <row r="38" spans="2:13" x14ac:dyDescent="0.25">
      <c r="B38" s="58">
        <v>3</v>
      </c>
      <c r="C38" s="58" t="s">
        <v>556</v>
      </c>
      <c r="D38" s="58">
        <v>4</v>
      </c>
      <c r="E38" s="273">
        <f t="shared" si="1"/>
        <v>15</v>
      </c>
      <c r="F38" s="58">
        <v>1</v>
      </c>
      <c r="G38" s="273">
        <f t="shared" si="2"/>
        <v>15</v>
      </c>
      <c r="H38" s="58">
        <f t="shared" si="3"/>
        <v>4</v>
      </c>
      <c r="I38" s="58">
        <f t="shared" si="4"/>
        <v>4.3</v>
      </c>
      <c r="K38" s="275" t="s">
        <v>575</v>
      </c>
      <c r="L38" s="46">
        <f>SUM(F36:F41)-1</f>
        <v>5</v>
      </c>
      <c r="M38" s="46"/>
    </row>
    <row r="39" spans="2:13" x14ac:dyDescent="0.25">
      <c r="B39" s="58">
        <v>4</v>
      </c>
      <c r="C39" s="58" t="s">
        <v>557</v>
      </c>
      <c r="D39" s="58">
        <v>4.3</v>
      </c>
      <c r="E39" s="273">
        <f t="shared" si="1"/>
        <v>13.953488372093023</v>
      </c>
      <c r="F39" s="58">
        <v>1</v>
      </c>
      <c r="G39" s="273">
        <f t="shared" si="2"/>
        <v>13.953488372093023</v>
      </c>
      <c r="H39" s="58">
        <f t="shared" si="3"/>
        <v>4.3</v>
      </c>
      <c r="I39" s="58">
        <f t="shared" si="4"/>
        <v>4.3</v>
      </c>
      <c r="K39" s="275" t="s">
        <v>576</v>
      </c>
      <c r="L39" s="276">
        <f>L36/L38</f>
        <v>167.44186046511626</v>
      </c>
      <c r="M39" s="46" t="s">
        <v>577</v>
      </c>
    </row>
    <row r="40" spans="2:13" x14ac:dyDescent="0.25">
      <c r="B40" s="58">
        <v>5</v>
      </c>
      <c r="C40" s="58" t="s">
        <v>558</v>
      </c>
      <c r="D40" s="58">
        <v>2</v>
      </c>
      <c r="E40" s="273">
        <f t="shared" si="1"/>
        <v>30</v>
      </c>
      <c r="F40" s="58">
        <v>1</v>
      </c>
      <c r="G40" s="273">
        <f t="shared" si="2"/>
        <v>30</v>
      </c>
      <c r="H40" s="58">
        <f t="shared" si="3"/>
        <v>2</v>
      </c>
      <c r="I40" s="58">
        <f t="shared" si="4"/>
        <v>4.3</v>
      </c>
      <c r="K40" s="275" t="s">
        <v>515</v>
      </c>
      <c r="L40" s="278">
        <f>H42/I42</f>
        <v>0.68217054263565879</v>
      </c>
      <c r="M40" s="46"/>
    </row>
    <row r="41" spans="2:13" x14ac:dyDescent="0.25">
      <c r="B41" s="58">
        <v>6</v>
      </c>
      <c r="C41" s="58" t="s">
        <v>559</v>
      </c>
      <c r="D41" s="58">
        <v>1.7</v>
      </c>
      <c r="E41" s="273">
        <f t="shared" si="1"/>
        <v>35.294117647058826</v>
      </c>
      <c r="F41" s="58">
        <v>1</v>
      </c>
      <c r="G41" s="273">
        <f t="shared" si="2"/>
        <v>35.294117647058826</v>
      </c>
      <c r="H41" s="58">
        <f t="shared" si="3"/>
        <v>1.7</v>
      </c>
      <c r="I41" s="58">
        <f t="shared" si="4"/>
        <v>4.3</v>
      </c>
      <c r="K41" s="275" t="s">
        <v>578</v>
      </c>
      <c r="L41" s="279">
        <f>L37*L38</f>
        <v>71.666666666666671</v>
      </c>
      <c r="M41" s="46" t="s">
        <v>579</v>
      </c>
    </row>
    <row r="42" spans="2:13" x14ac:dyDescent="0.25">
      <c r="H42" s="264">
        <f>SUM(H36:H41)</f>
        <v>17.599999999999998</v>
      </c>
      <c r="I42" s="264">
        <f>SUM(I36:I41)</f>
        <v>25.8</v>
      </c>
      <c r="K42" s="275" t="s">
        <v>580</v>
      </c>
      <c r="L42" s="280">
        <f>L41*12000</f>
        <v>860000</v>
      </c>
      <c r="M42" s="46"/>
    </row>
    <row r="45" spans="2:13" ht="30.75" thickBot="1" x14ac:dyDescent="0.3">
      <c r="B45" s="271" t="s">
        <v>297</v>
      </c>
      <c r="C45" s="271" t="s">
        <v>355</v>
      </c>
      <c r="D45" s="271" t="s">
        <v>552</v>
      </c>
      <c r="E45" s="271" t="s">
        <v>553</v>
      </c>
      <c r="F45" s="271" t="s">
        <v>476</v>
      </c>
      <c r="G45" s="271" t="s">
        <v>569</v>
      </c>
      <c r="I45" s="271" t="s">
        <v>570</v>
      </c>
      <c r="K45" s="663" t="s">
        <v>581</v>
      </c>
      <c r="L45" s="663"/>
      <c r="M45" s="663"/>
    </row>
    <row r="46" spans="2:13" x14ac:dyDescent="0.25">
      <c r="B46" s="58">
        <v>1</v>
      </c>
      <c r="C46" s="58" t="s">
        <v>554</v>
      </c>
      <c r="D46" s="58">
        <v>1.8</v>
      </c>
      <c r="E46" s="273">
        <f>60/D46</f>
        <v>33.333333333333336</v>
      </c>
      <c r="F46" s="58">
        <v>1</v>
      </c>
      <c r="G46" s="273">
        <f>E46*F46</f>
        <v>33.333333333333336</v>
      </c>
      <c r="H46" s="58">
        <f>D46/F46</f>
        <v>1.8</v>
      </c>
      <c r="I46" s="58">
        <v>2.15</v>
      </c>
      <c r="K46" s="275" t="s">
        <v>571</v>
      </c>
      <c r="L46" s="276">
        <f>MIN(G46:G51)*60</f>
        <v>1674.4186046511627</v>
      </c>
      <c r="M46" s="46" t="s">
        <v>572</v>
      </c>
    </row>
    <row r="47" spans="2:13" x14ac:dyDescent="0.25">
      <c r="B47" s="58">
        <v>2</v>
      </c>
      <c r="C47" s="58" t="s">
        <v>555</v>
      </c>
      <c r="D47" s="58">
        <v>3.8</v>
      </c>
      <c r="E47" s="273">
        <f t="shared" ref="E47:E51" si="5">60/D47</f>
        <v>15.789473684210527</v>
      </c>
      <c r="F47" s="58">
        <v>2</v>
      </c>
      <c r="G47" s="273">
        <f t="shared" ref="G47:G51" si="6">E47*F47</f>
        <v>31.578947368421055</v>
      </c>
      <c r="H47" s="58">
        <f t="shared" ref="H47:H51" si="7">D47/F47</f>
        <v>1.9</v>
      </c>
      <c r="I47" s="58">
        <v>2.15</v>
      </c>
      <c r="K47" s="275" t="s">
        <v>573</v>
      </c>
      <c r="L47" s="277">
        <f>12000/L46</f>
        <v>7.166666666666667</v>
      </c>
      <c r="M47" s="46" t="s">
        <v>574</v>
      </c>
    </row>
    <row r="48" spans="2:13" x14ac:dyDescent="0.25">
      <c r="B48" s="58">
        <v>3</v>
      </c>
      <c r="C48" s="58" t="s">
        <v>556</v>
      </c>
      <c r="D48" s="58">
        <v>4</v>
      </c>
      <c r="E48" s="273">
        <f t="shared" si="5"/>
        <v>15</v>
      </c>
      <c r="F48" s="58">
        <v>2</v>
      </c>
      <c r="G48" s="273">
        <f t="shared" si="6"/>
        <v>30</v>
      </c>
      <c r="H48" s="58">
        <f t="shared" si="7"/>
        <v>2</v>
      </c>
      <c r="I48" s="58">
        <v>2.15</v>
      </c>
      <c r="K48" s="275" t="s">
        <v>575</v>
      </c>
      <c r="L48" s="46">
        <f>SUM(F46:F51)-1</f>
        <v>8</v>
      </c>
      <c r="M48" s="46"/>
    </row>
    <row r="49" spans="2:13" x14ac:dyDescent="0.25">
      <c r="B49" s="58">
        <v>4</v>
      </c>
      <c r="C49" s="58" t="s">
        <v>557</v>
      </c>
      <c r="D49" s="58">
        <v>4.3</v>
      </c>
      <c r="E49" s="273">
        <f t="shared" si="5"/>
        <v>13.953488372093023</v>
      </c>
      <c r="F49" s="58">
        <v>2</v>
      </c>
      <c r="G49" s="273">
        <f t="shared" si="6"/>
        <v>27.906976744186046</v>
      </c>
      <c r="H49" s="58">
        <f t="shared" si="7"/>
        <v>2.15</v>
      </c>
      <c r="I49" s="58">
        <v>2.15</v>
      </c>
      <c r="K49" s="275" t="s">
        <v>576</v>
      </c>
      <c r="L49" s="281">
        <f>L46/L48</f>
        <v>209.30232558139534</v>
      </c>
      <c r="M49" s="282" t="s">
        <v>577</v>
      </c>
    </row>
    <row r="50" spans="2:13" x14ac:dyDescent="0.25">
      <c r="B50" s="58">
        <v>5</v>
      </c>
      <c r="C50" s="58" t="s">
        <v>558</v>
      </c>
      <c r="D50" s="58">
        <v>2</v>
      </c>
      <c r="E50" s="273">
        <f t="shared" si="5"/>
        <v>30</v>
      </c>
      <c r="F50" s="58">
        <v>1</v>
      </c>
      <c r="G50" s="273">
        <f t="shared" si="6"/>
        <v>30</v>
      </c>
      <c r="H50" s="58">
        <f t="shared" si="7"/>
        <v>2</v>
      </c>
      <c r="I50" s="58">
        <v>2.15</v>
      </c>
      <c r="K50" s="275" t="s">
        <v>515</v>
      </c>
      <c r="L50" s="278">
        <f>H52/I52</f>
        <v>0.89534883720930225</v>
      </c>
      <c r="M50" s="46"/>
    </row>
    <row r="51" spans="2:13" x14ac:dyDescent="0.25">
      <c r="B51" s="58">
        <v>6</v>
      </c>
      <c r="C51" s="58" t="s">
        <v>559</v>
      </c>
      <c r="D51" s="58">
        <v>1.7</v>
      </c>
      <c r="E51" s="273">
        <f t="shared" si="5"/>
        <v>35.294117647058826</v>
      </c>
      <c r="F51" s="58">
        <v>1</v>
      </c>
      <c r="G51" s="273">
        <f t="shared" si="6"/>
        <v>35.294117647058826</v>
      </c>
      <c r="H51" s="58">
        <f t="shared" si="7"/>
        <v>1.7</v>
      </c>
      <c r="I51" s="58">
        <v>2.15</v>
      </c>
      <c r="K51" s="275" t="s">
        <v>578</v>
      </c>
      <c r="L51" s="279">
        <f>L47*L48</f>
        <v>57.333333333333336</v>
      </c>
      <c r="M51" s="46" t="s">
        <v>579</v>
      </c>
    </row>
    <row r="52" spans="2:13" x14ac:dyDescent="0.25">
      <c r="H52" s="264">
        <f>SUM(H46:H51)</f>
        <v>11.549999999999999</v>
      </c>
      <c r="I52" s="264">
        <f>SUM(I46:I51)</f>
        <v>12.9</v>
      </c>
      <c r="K52" s="275" t="s">
        <v>580</v>
      </c>
      <c r="L52" s="283">
        <f>L51*12000</f>
        <v>688000</v>
      </c>
      <c r="M52" s="46"/>
    </row>
    <row r="56" spans="2:13" ht="30.75" thickBot="1" x14ac:dyDescent="0.3">
      <c r="B56" s="271" t="s">
        <v>297</v>
      </c>
      <c r="C56" s="271" t="s">
        <v>355</v>
      </c>
      <c r="D56" s="271" t="s">
        <v>552</v>
      </c>
      <c r="E56" s="271" t="s">
        <v>553</v>
      </c>
      <c r="F56" s="271" t="s">
        <v>476</v>
      </c>
      <c r="G56" s="271" t="s">
        <v>569</v>
      </c>
      <c r="I56" s="271" t="s">
        <v>570</v>
      </c>
    </row>
    <row r="57" spans="2:13" x14ac:dyDescent="0.25">
      <c r="B57" s="58">
        <v>1</v>
      </c>
      <c r="C57" s="58" t="s">
        <v>554</v>
      </c>
      <c r="D57" s="58">
        <v>1.8</v>
      </c>
      <c r="E57" s="273">
        <f>60/D57</f>
        <v>33.333333333333336</v>
      </c>
      <c r="F57" s="58">
        <v>2</v>
      </c>
      <c r="G57" s="273">
        <f>E57*F57</f>
        <v>66.666666666666671</v>
      </c>
      <c r="H57" s="58">
        <f>D57/F57</f>
        <v>0.9</v>
      </c>
      <c r="I57" s="58">
        <v>2.15</v>
      </c>
      <c r="K57" s="275" t="s">
        <v>571</v>
      </c>
      <c r="L57" s="276">
        <f>MIN(G57:G62)*60</f>
        <v>1674.4186046511627</v>
      </c>
      <c r="M57" s="46" t="s">
        <v>572</v>
      </c>
    </row>
    <row r="58" spans="2:13" x14ac:dyDescent="0.25">
      <c r="B58" s="58">
        <v>2</v>
      </c>
      <c r="C58" s="58" t="s">
        <v>555</v>
      </c>
      <c r="D58" s="58">
        <v>3.8</v>
      </c>
      <c r="E58" s="273">
        <f t="shared" ref="E58:E62" si="8">60/D58</f>
        <v>15.789473684210527</v>
      </c>
      <c r="F58" s="58">
        <v>2</v>
      </c>
      <c r="G58" s="273">
        <f t="shared" ref="G58:G62" si="9">E58*F58</f>
        <v>31.578947368421055</v>
      </c>
      <c r="H58" s="58">
        <f t="shared" ref="H58:H62" si="10">D58/F58</f>
        <v>1.9</v>
      </c>
      <c r="I58" s="58">
        <v>2.15</v>
      </c>
      <c r="K58" s="275" t="s">
        <v>573</v>
      </c>
      <c r="L58" s="284">
        <f>12000/L57</f>
        <v>7.166666666666667</v>
      </c>
      <c r="M58" s="282" t="s">
        <v>574</v>
      </c>
    </row>
    <row r="59" spans="2:13" x14ac:dyDescent="0.25">
      <c r="B59" s="58">
        <v>3</v>
      </c>
      <c r="C59" s="58" t="s">
        <v>556</v>
      </c>
      <c r="D59" s="58">
        <v>4</v>
      </c>
      <c r="E59" s="273">
        <f t="shared" si="8"/>
        <v>15</v>
      </c>
      <c r="F59" s="58">
        <v>2</v>
      </c>
      <c r="G59" s="273">
        <f t="shared" si="9"/>
        <v>30</v>
      </c>
      <c r="H59" s="58">
        <f t="shared" si="10"/>
        <v>2</v>
      </c>
      <c r="I59" s="58">
        <v>2.15</v>
      </c>
      <c r="K59" s="275" t="s">
        <v>575</v>
      </c>
      <c r="L59" s="46">
        <f>SUM(F57:F62)-1</f>
        <v>10</v>
      </c>
      <c r="M59" s="46"/>
    </row>
    <row r="60" spans="2:13" x14ac:dyDescent="0.25">
      <c r="B60" s="58">
        <v>4</v>
      </c>
      <c r="C60" s="58" t="s">
        <v>557</v>
      </c>
      <c r="D60" s="58">
        <v>4.3</v>
      </c>
      <c r="E60" s="273">
        <f t="shared" si="8"/>
        <v>13.953488372093023</v>
      </c>
      <c r="F60" s="58">
        <v>2</v>
      </c>
      <c r="G60" s="273">
        <f t="shared" si="9"/>
        <v>27.906976744186046</v>
      </c>
      <c r="H60" s="58">
        <f t="shared" si="10"/>
        <v>2.15</v>
      </c>
      <c r="I60" s="58">
        <v>2.15</v>
      </c>
      <c r="K60" s="275" t="s">
        <v>576</v>
      </c>
      <c r="L60" s="276">
        <f>L57/L59</f>
        <v>167.44186046511626</v>
      </c>
      <c r="M60" s="46" t="s">
        <v>577</v>
      </c>
    </row>
    <row r="61" spans="2:13" x14ac:dyDescent="0.25">
      <c r="B61" s="58">
        <v>5</v>
      </c>
      <c r="C61" s="58" t="s">
        <v>558</v>
      </c>
      <c r="D61" s="58">
        <v>2</v>
      </c>
      <c r="E61" s="273">
        <f t="shared" si="8"/>
        <v>30</v>
      </c>
      <c r="F61" s="58">
        <v>1</v>
      </c>
      <c r="G61" s="273">
        <f t="shared" si="9"/>
        <v>30</v>
      </c>
      <c r="H61" s="58">
        <f t="shared" si="10"/>
        <v>2</v>
      </c>
      <c r="I61" s="58">
        <v>2.15</v>
      </c>
      <c r="K61" s="275" t="s">
        <v>515</v>
      </c>
      <c r="L61" s="278">
        <f>H63/I63</f>
        <v>0.75968992248062006</v>
      </c>
      <c r="M61" s="46"/>
    </row>
    <row r="62" spans="2:13" x14ac:dyDescent="0.25">
      <c r="B62" s="58">
        <v>6</v>
      </c>
      <c r="C62" s="58" t="s">
        <v>559</v>
      </c>
      <c r="D62" s="58">
        <v>1.7</v>
      </c>
      <c r="E62" s="273">
        <f t="shared" si="8"/>
        <v>35.294117647058826</v>
      </c>
      <c r="F62" s="58">
        <v>2</v>
      </c>
      <c r="G62" s="273">
        <f t="shared" si="9"/>
        <v>70.588235294117652</v>
      </c>
      <c r="H62" s="58">
        <f t="shared" si="10"/>
        <v>0.85</v>
      </c>
      <c r="I62" s="58">
        <v>2.15</v>
      </c>
      <c r="K62" s="275" t="s">
        <v>578</v>
      </c>
      <c r="L62" s="279">
        <f>L58*L59</f>
        <v>71.666666666666671</v>
      </c>
      <c r="M62" s="46" t="s">
        <v>579</v>
      </c>
    </row>
    <row r="63" spans="2:13" x14ac:dyDescent="0.25">
      <c r="H63" s="264">
        <f>SUM(H57:H62)</f>
        <v>9.7999999999999989</v>
      </c>
      <c r="I63" s="264">
        <f>SUM(I57:I62)</f>
        <v>12.9</v>
      </c>
      <c r="K63" s="275" t="s">
        <v>580</v>
      </c>
      <c r="L63" s="280">
        <f>L62*12000</f>
        <v>860000</v>
      </c>
      <c r="M63" s="46"/>
    </row>
  </sheetData>
  <mergeCells count="1">
    <mergeCell ref="K45:M45"/>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P31"/>
  <sheetViews>
    <sheetView workbookViewId="0">
      <selection activeCell="C41" sqref="C41"/>
    </sheetView>
  </sheetViews>
  <sheetFormatPr baseColWidth="10" defaultColWidth="10.7109375" defaultRowHeight="15" x14ac:dyDescent="0.25"/>
  <sheetData>
    <row r="1" spans="2:16" x14ac:dyDescent="0.25">
      <c r="B1" s="664" t="s">
        <v>587</v>
      </c>
      <c r="C1" s="664"/>
      <c r="D1" s="664"/>
      <c r="E1" s="664"/>
      <c r="F1" s="664"/>
      <c r="G1" s="664"/>
      <c r="H1" s="664"/>
      <c r="I1" s="664"/>
      <c r="J1" s="664"/>
      <c r="K1" s="664"/>
      <c r="L1" s="664"/>
      <c r="M1" s="664"/>
      <c r="N1" s="664"/>
      <c r="O1" s="664"/>
      <c r="P1" s="664"/>
    </row>
    <row r="2" spans="2:16" x14ac:dyDescent="0.25">
      <c r="B2" s="664"/>
      <c r="C2" s="664"/>
      <c r="D2" s="664"/>
      <c r="E2" s="664"/>
      <c r="F2" s="664"/>
      <c r="G2" s="664"/>
      <c r="H2" s="664"/>
      <c r="I2" s="664"/>
      <c r="J2" s="664"/>
      <c r="K2" s="664"/>
      <c r="L2" s="664"/>
      <c r="M2" s="664"/>
      <c r="N2" s="664"/>
      <c r="O2" s="664"/>
      <c r="P2" s="664"/>
    </row>
    <row r="3" spans="2:16" x14ac:dyDescent="0.25">
      <c r="B3" s="664"/>
      <c r="C3" s="664"/>
      <c r="D3" s="664"/>
      <c r="E3" s="664"/>
      <c r="F3" s="664"/>
      <c r="G3" s="664"/>
      <c r="H3" s="664"/>
      <c r="I3" s="664"/>
      <c r="J3" s="664"/>
      <c r="K3" s="664"/>
      <c r="L3" s="664"/>
      <c r="M3" s="664"/>
      <c r="N3" s="664"/>
      <c r="O3" s="664"/>
      <c r="P3" s="664"/>
    </row>
    <row r="5" spans="2:16" x14ac:dyDescent="0.25">
      <c r="B5" s="666" t="s">
        <v>582</v>
      </c>
      <c r="C5" s="666"/>
      <c r="D5" s="439"/>
      <c r="E5" s="439"/>
      <c r="F5" s="439"/>
      <c r="G5" s="439"/>
      <c r="H5" s="439"/>
      <c r="I5" s="439"/>
      <c r="J5" s="439"/>
      <c r="K5" s="439"/>
      <c r="L5" s="439"/>
      <c r="M5" s="439"/>
      <c r="N5" s="439"/>
      <c r="O5" s="439"/>
      <c r="P5" s="439"/>
    </row>
    <row r="6" spans="2:16" x14ac:dyDescent="0.25">
      <c r="B6" s="666"/>
      <c r="C6" s="666"/>
      <c r="D6" s="439"/>
      <c r="E6" s="439"/>
      <c r="F6" s="439"/>
      <c r="G6" s="439"/>
      <c r="H6" s="439"/>
      <c r="I6" s="439"/>
      <c r="J6" s="439"/>
      <c r="K6" s="439"/>
      <c r="L6" s="439"/>
      <c r="M6" s="439"/>
      <c r="N6" s="439"/>
      <c r="O6" s="439"/>
      <c r="P6" s="439"/>
    </row>
    <row r="7" spans="2:16" x14ac:dyDescent="0.25">
      <c r="B7" s="666"/>
      <c r="C7" s="666"/>
      <c r="D7" s="439"/>
      <c r="E7" s="439"/>
      <c r="F7" s="439"/>
      <c r="G7" s="439"/>
      <c r="H7" s="439"/>
      <c r="I7" s="439"/>
      <c r="J7" s="439"/>
      <c r="K7" s="439"/>
      <c r="L7" s="439"/>
      <c r="M7" s="439"/>
      <c r="N7" s="439"/>
      <c r="O7" s="439"/>
      <c r="P7" s="439"/>
    </row>
    <row r="8" spans="2:16" x14ac:dyDescent="0.25">
      <c r="B8" s="666"/>
      <c r="C8" s="666"/>
      <c r="D8" s="439"/>
      <c r="E8" s="439"/>
      <c r="F8" s="439"/>
      <c r="G8" s="439"/>
      <c r="H8" s="439"/>
      <c r="I8" s="439"/>
      <c r="J8" s="439"/>
      <c r="K8" s="439"/>
      <c r="L8" s="439"/>
      <c r="M8" s="439"/>
      <c r="N8" s="439"/>
      <c r="O8" s="439"/>
      <c r="P8" s="439"/>
    </row>
    <row r="9" spans="2:16" x14ac:dyDescent="0.25">
      <c r="B9" s="666" t="s">
        <v>583</v>
      </c>
      <c r="C9" s="666"/>
      <c r="D9" s="439"/>
      <c r="E9" s="439"/>
      <c r="F9" s="439"/>
      <c r="G9" s="439"/>
      <c r="H9" s="439"/>
      <c r="I9" s="439"/>
      <c r="J9" s="439"/>
      <c r="K9" s="439"/>
      <c r="L9" s="439"/>
      <c r="M9" s="439"/>
      <c r="N9" s="439"/>
      <c r="O9" s="439"/>
      <c r="P9" s="439"/>
    </row>
    <row r="10" spans="2:16" x14ac:dyDescent="0.25">
      <c r="B10" s="666"/>
      <c r="C10" s="666"/>
      <c r="D10" s="439"/>
      <c r="E10" s="439"/>
      <c r="F10" s="439"/>
      <c r="G10" s="439"/>
      <c r="H10" s="439"/>
      <c r="I10" s="439"/>
      <c r="J10" s="439"/>
      <c r="K10" s="439"/>
      <c r="L10" s="439"/>
      <c r="M10" s="439"/>
      <c r="N10" s="439"/>
      <c r="O10" s="439"/>
      <c r="P10" s="439"/>
    </row>
    <row r="11" spans="2:16" x14ac:dyDescent="0.25">
      <c r="B11" s="666"/>
      <c r="C11" s="666"/>
      <c r="D11" s="439"/>
      <c r="E11" s="439"/>
      <c r="F11" s="439"/>
      <c r="G11" s="439"/>
      <c r="H11" s="439"/>
      <c r="I11" s="439"/>
      <c r="J11" s="439"/>
      <c r="K11" s="439"/>
      <c r="L11" s="439"/>
      <c r="M11" s="439"/>
      <c r="N11" s="439"/>
      <c r="O11" s="439"/>
      <c r="P11" s="439"/>
    </row>
    <row r="12" spans="2:16" x14ac:dyDescent="0.25">
      <c r="B12" s="666"/>
      <c r="C12" s="666"/>
      <c r="D12" s="439"/>
      <c r="E12" s="439"/>
      <c r="F12" s="439"/>
      <c r="G12" s="439"/>
      <c r="H12" s="439"/>
      <c r="I12" s="439"/>
      <c r="J12" s="439"/>
      <c r="K12" s="439"/>
      <c r="L12" s="439"/>
      <c r="M12" s="439"/>
      <c r="N12" s="439"/>
      <c r="O12" s="439"/>
      <c r="P12" s="439"/>
    </row>
    <row r="13" spans="2:16" x14ac:dyDescent="0.25">
      <c r="B13" s="666" t="s">
        <v>584</v>
      </c>
      <c r="C13" s="666"/>
      <c r="D13" s="439"/>
      <c r="E13" s="439"/>
      <c r="F13" s="439"/>
      <c r="G13" s="439"/>
      <c r="H13" s="439"/>
      <c r="I13" s="439"/>
      <c r="J13" s="439"/>
      <c r="K13" s="439"/>
      <c r="L13" s="439"/>
      <c r="M13" s="439"/>
      <c r="N13" s="439"/>
      <c r="O13" s="439"/>
      <c r="P13" s="439"/>
    </row>
    <row r="14" spans="2:16" x14ac:dyDescent="0.25">
      <c r="B14" s="666"/>
      <c r="C14" s="666"/>
      <c r="D14" s="439"/>
      <c r="E14" s="439"/>
      <c r="F14" s="439"/>
      <c r="G14" s="439"/>
      <c r="H14" s="439"/>
      <c r="I14" s="439"/>
      <c r="J14" s="439"/>
      <c r="K14" s="439"/>
      <c r="L14" s="439"/>
      <c r="M14" s="439"/>
      <c r="N14" s="439"/>
      <c r="O14" s="439"/>
      <c r="P14" s="439"/>
    </row>
    <row r="15" spans="2:16" x14ac:dyDescent="0.25">
      <c r="B15" s="666"/>
      <c r="C15" s="666"/>
      <c r="D15" s="439"/>
      <c r="E15" s="439"/>
      <c r="F15" s="439"/>
      <c r="G15" s="439"/>
      <c r="H15" s="439"/>
      <c r="I15" s="439"/>
      <c r="J15" s="439"/>
      <c r="K15" s="439"/>
      <c r="L15" s="439"/>
      <c r="M15" s="439"/>
      <c r="N15" s="439"/>
      <c r="O15" s="439"/>
      <c r="P15" s="439"/>
    </row>
    <row r="16" spans="2:16" x14ac:dyDescent="0.25">
      <c r="B16" s="666"/>
      <c r="C16" s="666"/>
      <c r="D16" s="439"/>
      <c r="E16" s="439"/>
      <c r="F16" s="439"/>
      <c r="G16" s="439"/>
      <c r="H16" s="439"/>
      <c r="I16" s="439"/>
      <c r="J16" s="439"/>
      <c r="K16" s="439"/>
      <c r="L16" s="439"/>
      <c r="M16" s="439"/>
      <c r="N16" s="439"/>
      <c r="O16" s="439"/>
      <c r="P16" s="439"/>
    </row>
    <row r="17" spans="2:16" x14ac:dyDescent="0.25">
      <c r="B17" s="666" t="s">
        <v>585</v>
      </c>
      <c r="C17" s="666"/>
      <c r="D17" s="439"/>
      <c r="E17" s="439"/>
      <c r="F17" s="439"/>
      <c r="G17" s="439"/>
      <c r="H17" s="439"/>
      <c r="I17" s="439"/>
      <c r="J17" s="439"/>
      <c r="K17" s="439"/>
      <c r="L17" s="439"/>
      <c r="M17" s="439"/>
      <c r="N17" s="439"/>
      <c r="O17" s="439"/>
      <c r="P17" s="439"/>
    </row>
    <row r="18" spans="2:16" x14ac:dyDescent="0.25">
      <c r="B18" s="666"/>
      <c r="C18" s="666"/>
      <c r="D18" s="439"/>
      <c r="E18" s="439"/>
      <c r="F18" s="439"/>
      <c r="G18" s="439"/>
      <c r="H18" s="439"/>
      <c r="I18" s="439"/>
      <c r="J18" s="439"/>
      <c r="K18" s="439"/>
      <c r="L18" s="439"/>
      <c r="M18" s="439"/>
      <c r="N18" s="439"/>
      <c r="O18" s="439"/>
      <c r="P18" s="439"/>
    </row>
    <row r="19" spans="2:16" x14ac:dyDescent="0.25">
      <c r="B19" s="666"/>
      <c r="C19" s="666"/>
      <c r="D19" s="439"/>
      <c r="E19" s="439"/>
      <c r="F19" s="439"/>
      <c r="G19" s="439"/>
      <c r="H19" s="439"/>
      <c r="I19" s="439"/>
      <c r="J19" s="439"/>
      <c r="K19" s="439"/>
      <c r="L19" s="439"/>
      <c r="M19" s="439"/>
      <c r="N19" s="439"/>
      <c r="O19" s="439"/>
      <c r="P19" s="439"/>
    </row>
    <row r="20" spans="2:16" x14ac:dyDescent="0.25">
      <c r="B20" s="666"/>
      <c r="C20" s="666"/>
      <c r="D20" s="439"/>
      <c r="E20" s="439"/>
      <c r="F20" s="439"/>
      <c r="G20" s="439"/>
      <c r="H20" s="439"/>
      <c r="I20" s="439"/>
      <c r="J20" s="439"/>
      <c r="K20" s="439"/>
      <c r="L20" s="439"/>
      <c r="M20" s="439"/>
      <c r="N20" s="439"/>
      <c r="O20" s="439"/>
      <c r="P20" s="439"/>
    </row>
    <row r="21" spans="2:16" x14ac:dyDescent="0.25">
      <c r="B21" s="666" t="s">
        <v>586</v>
      </c>
      <c r="C21" s="666"/>
      <c r="D21" s="439"/>
      <c r="E21" s="439"/>
      <c r="F21" s="439"/>
      <c r="G21" s="439"/>
      <c r="H21" s="439"/>
      <c r="I21" s="439"/>
      <c r="J21" s="439"/>
      <c r="K21" s="439"/>
      <c r="L21" s="439"/>
      <c r="M21" s="439"/>
      <c r="N21" s="439"/>
      <c r="O21" s="439"/>
      <c r="P21" s="439"/>
    </row>
    <row r="22" spans="2:16" x14ac:dyDescent="0.25">
      <c r="B22" s="666"/>
      <c r="C22" s="666"/>
      <c r="D22" s="439"/>
      <c r="E22" s="439"/>
      <c r="F22" s="439"/>
      <c r="G22" s="439"/>
      <c r="H22" s="439"/>
      <c r="I22" s="439"/>
      <c r="J22" s="439"/>
      <c r="K22" s="439"/>
      <c r="L22" s="439"/>
      <c r="M22" s="439"/>
      <c r="N22" s="439"/>
      <c r="O22" s="439"/>
      <c r="P22" s="439"/>
    </row>
    <row r="23" spans="2:16" x14ac:dyDescent="0.25">
      <c r="B23" s="666"/>
      <c r="C23" s="666"/>
      <c r="D23" s="439"/>
      <c r="E23" s="439"/>
      <c r="F23" s="439"/>
      <c r="G23" s="439"/>
      <c r="H23" s="439"/>
      <c r="I23" s="439"/>
      <c r="J23" s="439"/>
      <c r="K23" s="439"/>
      <c r="L23" s="439"/>
      <c r="M23" s="439"/>
      <c r="N23" s="439"/>
      <c r="O23" s="439"/>
      <c r="P23" s="439"/>
    </row>
    <row r="24" spans="2:16" x14ac:dyDescent="0.25">
      <c r="B24" s="666"/>
      <c r="C24" s="666"/>
      <c r="D24" s="439"/>
      <c r="E24" s="439"/>
      <c r="F24" s="439"/>
      <c r="G24" s="439"/>
      <c r="H24" s="439"/>
      <c r="I24" s="439"/>
      <c r="J24" s="439"/>
      <c r="K24" s="439"/>
      <c r="L24" s="439"/>
      <c r="M24" s="439"/>
      <c r="N24" s="439"/>
      <c r="O24" s="439"/>
      <c r="P24" s="439"/>
    </row>
    <row r="27" spans="2:16" x14ac:dyDescent="0.25">
      <c r="B27" s="665" t="s">
        <v>600</v>
      </c>
      <c r="C27" s="665"/>
      <c r="D27" s="665"/>
      <c r="E27" s="665"/>
      <c r="F27" s="665"/>
      <c r="G27" s="665"/>
      <c r="H27" s="665"/>
      <c r="I27" s="665"/>
    </row>
    <row r="28" spans="2:16" x14ac:dyDescent="0.25">
      <c r="B28" t="s">
        <v>507</v>
      </c>
      <c r="C28" t="s">
        <v>595</v>
      </c>
    </row>
    <row r="29" spans="2:16" x14ac:dyDescent="0.25">
      <c r="B29" t="s">
        <v>522</v>
      </c>
      <c r="C29" t="s">
        <v>596</v>
      </c>
    </row>
    <row r="30" spans="2:16" x14ac:dyDescent="0.25">
      <c r="B30" t="s">
        <v>529</v>
      </c>
      <c r="C30" t="s">
        <v>597</v>
      </c>
    </row>
    <row r="31" spans="2:16" x14ac:dyDescent="0.25">
      <c r="B31" t="s">
        <v>598</v>
      </c>
      <c r="C31" t="s">
        <v>599</v>
      </c>
    </row>
  </sheetData>
  <mergeCells count="12">
    <mergeCell ref="B1:P3"/>
    <mergeCell ref="B27:I27"/>
    <mergeCell ref="B5:C8"/>
    <mergeCell ref="B9:C12"/>
    <mergeCell ref="B13:C16"/>
    <mergeCell ref="B17:C20"/>
    <mergeCell ref="B21:C24"/>
    <mergeCell ref="D5:P8"/>
    <mergeCell ref="D9:P12"/>
    <mergeCell ref="D13:P16"/>
    <mergeCell ref="D17:P20"/>
    <mergeCell ref="D21:P24"/>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R25"/>
  <sheetViews>
    <sheetView workbookViewId="0">
      <selection activeCell="F31" sqref="F31"/>
    </sheetView>
  </sheetViews>
  <sheetFormatPr baseColWidth="10" defaultColWidth="10.7109375" defaultRowHeight="15" x14ac:dyDescent="0.25"/>
  <cols>
    <col min="2" max="2" width="22.85546875" bestFit="1" customWidth="1"/>
    <col min="3" max="3" width="16.85546875" bestFit="1" customWidth="1"/>
  </cols>
  <sheetData>
    <row r="1" spans="2:18" x14ac:dyDescent="0.25">
      <c r="B1" s="669" t="s">
        <v>841</v>
      </c>
      <c r="C1" s="669"/>
      <c r="D1" s="669"/>
      <c r="E1" s="669"/>
      <c r="F1" s="669"/>
      <c r="G1" s="669"/>
      <c r="H1" s="669"/>
      <c r="I1" s="669"/>
      <c r="J1" s="669"/>
      <c r="K1" s="669"/>
      <c r="L1" s="669"/>
      <c r="M1" s="669"/>
      <c r="N1" s="669"/>
      <c r="O1" s="669"/>
      <c r="P1" s="669"/>
      <c r="Q1" s="669"/>
      <c r="R1" s="669"/>
    </row>
    <row r="2" spans="2:18" x14ac:dyDescent="0.25">
      <c r="B2" s="669"/>
      <c r="C2" s="669"/>
      <c r="D2" s="669"/>
      <c r="E2" s="669"/>
      <c r="F2" s="669"/>
      <c r="G2" s="669"/>
      <c r="H2" s="669"/>
      <c r="I2" s="669"/>
      <c r="J2" s="669"/>
      <c r="K2" s="669"/>
      <c r="L2" s="669"/>
      <c r="M2" s="669"/>
      <c r="N2" s="669"/>
      <c r="O2" s="669"/>
      <c r="P2" s="669"/>
      <c r="Q2" s="669"/>
      <c r="R2" s="669"/>
    </row>
    <row r="3" spans="2:18" x14ac:dyDescent="0.25">
      <c r="B3" s="288" t="s">
        <v>594</v>
      </c>
      <c r="C3" s="288" t="s">
        <v>592</v>
      </c>
    </row>
    <row r="6" spans="2:18" x14ac:dyDescent="0.25">
      <c r="B6" s="57" t="s">
        <v>593</v>
      </c>
      <c r="C6" s="57" t="s">
        <v>588</v>
      </c>
    </row>
    <row r="7" spans="2:18" x14ac:dyDescent="0.25">
      <c r="B7" s="53">
        <v>10</v>
      </c>
      <c r="C7" s="53">
        <v>4.5</v>
      </c>
    </row>
    <row r="8" spans="2:18" x14ac:dyDescent="0.25">
      <c r="B8" s="53">
        <v>11</v>
      </c>
      <c r="C8" s="53">
        <v>4.2</v>
      </c>
    </row>
    <row r="9" spans="2:18" x14ac:dyDescent="0.25">
      <c r="B9" s="53">
        <v>12</v>
      </c>
      <c r="C9" s="53">
        <v>3.8</v>
      </c>
    </row>
    <row r="10" spans="2:18" ht="18.75" x14ac:dyDescent="0.3">
      <c r="B10" s="53">
        <v>13</v>
      </c>
      <c r="C10" s="53">
        <v>3.6</v>
      </c>
      <c r="P10" s="667" t="s">
        <v>589</v>
      </c>
      <c r="Q10" s="667"/>
      <c r="R10" s="667"/>
    </row>
    <row r="11" spans="2:18" x14ac:dyDescent="0.25">
      <c r="B11" s="53">
        <v>14</v>
      </c>
      <c r="C11" s="53">
        <v>3.4</v>
      </c>
    </row>
    <row r="12" spans="2:18" x14ac:dyDescent="0.25">
      <c r="B12" s="53">
        <v>15</v>
      </c>
      <c r="C12" s="53">
        <v>3</v>
      </c>
    </row>
    <row r="13" spans="2:18" x14ac:dyDescent="0.25">
      <c r="B13" s="53">
        <v>16</v>
      </c>
      <c r="C13" s="53">
        <v>2.9</v>
      </c>
    </row>
    <row r="14" spans="2:18" x14ac:dyDescent="0.25">
      <c r="B14" s="53">
        <v>17</v>
      </c>
      <c r="C14" s="53">
        <v>2.4</v>
      </c>
    </row>
    <row r="15" spans="2:18" x14ac:dyDescent="0.25">
      <c r="B15" s="53">
        <v>18</v>
      </c>
      <c r="C15" s="53">
        <v>2.2000000000000002</v>
      </c>
    </row>
    <row r="16" spans="2:18" x14ac:dyDescent="0.25">
      <c r="B16" s="53">
        <v>19</v>
      </c>
      <c r="C16" s="53">
        <v>2.1</v>
      </c>
    </row>
    <row r="17" spans="2:8" x14ac:dyDescent="0.25">
      <c r="B17" s="53">
        <v>20</v>
      </c>
      <c r="C17" s="53">
        <v>1.8</v>
      </c>
    </row>
    <row r="22" spans="2:8" x14ac:dyDescent="0.25">
      <c r="E22" s="668" t="s">
        <v>591</v>
      </c>
      <c r="F22" s="668"/>
      <c r="G22" s="668"/>
      <c r="H22" s="668"/>
    </row>
    <row r="23" spans="2:8" x14ac:dyDescent="0.25">
      <c r="E23" s="668"/>
      <c r="F23" s="668"/>
      <c r="G23" s="668"/>
      <c r="H23" s="668"/>
    </row>
    <row r="24" spans="2:8" ht="15" customHeight="1" x14ac:dyDescent="0.3">
      <c r="B24" s="261"/>
      <c r="C24" s="261"/>
      <c r="D24" s="26"/>
      <c r="E24" s="285" t="s">
        <v>590</v>
      </c>
    </row>
    <row r="25" spans="2:8" x14ac:dyDescent="0.25">
      <c r="B25" s="261"/>
      <c r="C25" s="261"/>
      <c r="D25" s="26"/>
    </row>
  </sheetData>
  <mergeCells count="3">
    <mergeCell ref="P10:R10"/>
    <mergeCell ref="E22:H23"/>
    <mergeCell ref="B1:R2"/>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C1:H53"/>
  <sheetViews>
    <sheetView workbookViewId="0">
      <selection activeCell="K10" sqref="K10"/>
    </sheetView>
  </sheetViews>
  <sheetFormatPr baseColWidth="10" defaultColWidth="11.42578125" defaultRowHeight="15" x14ac:dyDescent="0.25"/>
  <cols>
    <col min="1" max="2" width="11.42578125" style="54"/>
    <col min="3" max="3" width="40.5703125" style="54" customWidth="1"/>
    <col min="4" max="4" width="23.5703125" style="54" customWidth="1"/>
    <col min="5" max="5" width="11.42578125" style="54"/>
    <col min="6" max="6" width="9.28515625" style="54" customWidth="1"/>
    <col min="7" max="7" width="39.42578125" style="54" customWidth="1"/>
    <col min="8" max="8" width="20.140625" style="54" customWidth="1"/>
    <col min="9" max="16384" width="11.42578125" style="54"/>
  </cols>
  <sheetData>
    <row r="1" spans="3:8" x14ac:dyDescent="0.25">
      <c r="C1" s="682" t="s">
        <v>621</v>
      </c>
      <c r="D1" s="683"/>
      <c r="E1" s="683"/>
      <c r="F1" s="683"/>
      <c r="G1" s="683"/>
      <c r="H1" s="684"/>
    </row>
    <row r="2" spans="3:8" x14ac:dyDescent="0.25">
      <c r="C2" s="685"/>
      <c r="D2" s="686"/>
      <c r="E2" s="686"/>
      <c r="F2" s="686"/>
      <c r="G2" s="686"/>
      <c r="H2" s="687"/>
    </row>
    <row r="3" spans="3:8" x14ac:dyDescent="0.25">
      <c r="C3" s="388"/>
      <c r="H3" s="389"/>
    </row>
    <row r="4" spans="3:8" x14ac:dyDescent="0.25">
      <c r="C4" s="390" t="s">
        <v>616</v>
      </c>
      <c r="D4" s="46"/>
      <c r="E4" s="58"/>
      <c r="F4" s="58"/>
      <c r="G4" s="391" t="s">
        <v>619</v>
      </c>
      <c r="H4" s="53"/>
    </row>
    <row r="5" spans="3:8" x14ac:dyDescent="0.25">
      <c r="C5" s="390" t="s">
        <v>617</v>
      </c>
      <c r="D5" s="46"/>
      <c r="E5" s="58"/>
      <c r="F5" s="58"/>
      <c r="G5" s="391" t="s">
        <v>607</v>
      </c>
      <c r="H5" s="53"/>
    </row>
    <row r="6" spans="3:8" x14ac:dyDescent="0.25">
      <c r="C6" s="390" t="s">
        <v>618</v>
      </c>
      <c r="D6" s="46"/>
      <c r="E6" s="58"/>
      <c r="F6" s="58"/>
      <c r="G6" s="391" t="s">
        <v>620</v>
      </c>
      <c r="H6" s="53"/>
    </row>
    <row r="7" spans="3:8" x14ac:dyDescent="0.25">
      <c r="C7" s="388"/>
      <c r="H7" s="389"/>
    </row>
    <row r="8" spans="3:8" x14ac:dyDescent="0.25">
      <c r="C8" s="681" t="s">
        <v>615</v>
      </c>
      <c r="D8" s="681"/>
      <c r="E8" s="681"/>
      <c r="F8" s="681"/>
      <c r="G8" s="681"/>
      <c r="H8" s="681"/>
    </row>
    <row r="9" spans="3:8" x14ac:dyDescent="0.25">
      <c r="C9" s="439"/>
      <c r="D9" s="439"/>
      <c r="E9" s="439"/>
      <c r="F9" s="439"/>
      <c r="G9" s="439"/>
      <c r="H9" s="439"/>
    </row>
    <row r="10" spans="3:8" x14ac:dyDescent="0.25">
      <c r="C10" s="439"/>
      <c r="D10" s="439"/>
      <c r="E10" s="439"/>
      <c r="F10" s="439"/>
      <c r="G10" s="439"/>
      <c r="H10" s="439"/>
    </row>
    <row r="11" spans="3:8" x14ac:dyDescent="0.25">
      <c r="C11" s="696" t="s">
        <v>205</v>
      </c>
      <c r="D11" s="697"/>
      <c r="E11" s="697"/>
      <c r="F11" s="697"/>
      <c r="G11" s="697"/>
      <c r="H11" s="698"/>
    </row>
    <row r="12" spans="3:8" x14ac:dyDescent="0.25">
      <c r="C12" s="691"/>
      <c r="D12" s="692"/>
      <c r="E12" s="692"/>
      <c r="F12" s="692"/>
      <c r="G12" s="692"/>
      <c r="H12" s="693"/>
    </row>
    <row r="13" spans="3:8" x14ac:dyDescent="0.25">
      <c r="C13" s="694"/>
      <c r="D13" s="665"/>
      <c r="E13" s="665"/>
      <c r="F13" s="665"/>
      <c r="G13" s="665"/>
      <c r="H13" s="695"/>
    </row>
    <row r="14" spans="3:8" x14ac:dyDescent="0.25">
      <c r="C14" s="388"/>
      <c r="H14" s="389"/>
    </row>
    <row r="15" spans="3:8" x14ac:dyDescent="0.25">
      <c r="C15" s="702" t="s">
        <v>603</v>
      </c>
      <c r="D15" s="475"/>
      <c r="F15" s="700" t="s">
        <v>606</v>
      </c>
      <c r="G15" s="700"/>
      <c r="H15" s="701"/>
    </row>
    <row r="16" spans="3:8" x14ac:dyDescent="0.25">
      <c r="C16" s="282" t="s">
        <v>601</v>
      </c>
      <c r="D16" s="282" t="s">
        <v>602</v>
      </c>
      <c r="E16" s="58"/>
      <c r="F16" s="282" t="s">
        <v>604</v>
      </c>
      <c r="G16" s="282" t="s">
        <v>605</v>
      </c>
      <c r="H16" s="282" t="s">
        <v>372</v>
      </c>
    </row>
    <row r="17" spans="3:8" x14ac:dyDescent="0.25">
      <c r="C17" s="53"/>
      <c r="D17" s="53"/>
      <c r="F17" s="53"/>
      <c r="G17" s="53"/>
      <c r="H17" s="53"/>
    </row>
    <row r="18" spans="3:8" x14ac:dyDescent="0.25">
      <c r="C18" s="53"/>
      <c r="D18" s="53"/>
      <c r="F18" s="53"/>
      <c r="G18" s="53"/>
      <c r="H18" s="53"/>
    </row>
    <row r="19" spans="3:8" x14ac:dyDescent="0.25">
      <c r="C19" s="53"/>
      <c r="D19" s="53"/>
      <c r="F19" s="53"/>
      <c r="G19" s="53"/>
      <c r="H19" s="53"/>
    </row>
    <row r="20" spans="3:8" x14ac:dyDescent="0.25">
      <c r="C20" s="53"/>
      <c r="D20" s="53"/>
      <c r="F20" s="53"/>
      <c r="G20" s="53"/>
      <c r="H20" s="53"/>
    </row>
    <row r="21" spans="3:8" x14ac:dyDescent="0.25">
      <c r="C21" s="53"/>
      <c r="D21" s="53"/>
      <c r="F21" s="53"/>
      <c r="G21" s="53"/>
      <c r="H21" s="53"/>
    </row>
    <row r="22" spans="3:8" x14ac:dyDescent="0.25">
      <c r="C22" s="53"/>
      <c r="D22" s="53"/>
      <c r="F22" s="53"/>
      <c r="G22" s="53"/>
      <c r="H22" s="53"/>
    </row>
    <row r="23" spans="3:8" x14ac:dyDescent="0.25">
      <c r="C23" s="53"/>
      <c r="D23" s="53"/>
      <c r="F23" s="53"/>
      <c r="G23" s="53"/>
      <c r="H23" s="53"/>
    </row>
    <row r="24" spans="3:8" x14ac:dyDescent="0.25">
      <c r="C24" s="53"/>
      <c r="D24" s="53"/>
      <c r="F24" s="53"/>
      <c r="G24" s="53"/>
      <c r="H24" s="53"/>
    </row>
    <row r="25" spans="3:8" x14ac:dyDescent="0.25">
      <c r="C25" s="53"/>
      <c r="D25" s="53"/>
      <c r="F25" s="53"/>
      <c r="G25" s="53"/>
      <c r="H25" s="53"/>
    </row>
    <row r="26" spans="3:8" x14ac:dyDescent="0.25">
      <c r="C26" s="53"/>
      <c r="D26" s="53"/>
      <c r="F26" s="53"/>
      <c r="G26" s="53"/>
      <c r="H26" s="53"/>
    </row>
    <row r="27" spans="3:8" x14ac:dyDescent="0.25">
      <c r="C27" s="53"/>
      <c r="D27" s="53"/>
      <c r="F27" s="53"/>
      <c r="G27" s="53"/>
      <c r="H27" s="53"/>
    </row>
    <row r="28" spans="3:8" x14ac:dyDescent="0.25">
      <c r="C28" s="53"/>
      <c r="D28" s="53"/>
      <c r="F28" s="53"/>
      <c r="G28" s="53"/>
      <c r="H28" s="53"/>
    </row>
    <row r="29" spans="3:8" x14ac:dyDescent="0.25">
      <c r="C29" s="53"/>
      <c r="D29" s="53"/>
      <c r="F29" s="53"/>
      <c r="G29" s="53"/>
      <c r="H29" s="53"/>
    </row>
    <row r="30" spans="3:8" x14ac:dyDescent="0.25">
      <c r="C30" s="53"/>
      <c r="D30" s="53"/>
      <c r="F30" s="53"/>
      <c r="G30" s="53"/>
      <c r="H30" s="53"/>
    </row>
    <row r="31" spans="3:8" x14ac:dyDescent="0.25">
      <c r="C31" s="53"/>
      <c r="D31" s="53"/>
      <c r="F31" s="53"/>
      <c r="G31" s="53"/>
      <c r="H31" s="53"/>
    </row>
    <row r="32" spans="3:8" x14ac:dyDescent="0.25">
      <c r="C32" s="53"/>
      <c r="D32" s="53"/>
      <c r="F32" s="53"/>
      <c r="G32" s="53"/>
      <c r="H32" s="53"/>
    </row>
    <row r="33" spans="3:8" x14ac:dyDescent="0.25">
      <c r="C33" s="53"/>
      <c r="D33" s="53"/>
      <c r="F33" s="53"/>
      <c r="G33" s="53"/>
      <c r="H33" s="53"/>
    </row>
    <row r="34" spans="3:8" x14ac:dyDescent="0.25">
      <c r="C34" s="53"/>
      <c r="D34" s="53"/>
      <c r="F34" s="53"/>
      <c r="G34" s="53"/>
      <c r="H34" s="53"/>
    </row>
    <row r="35" spans="3:8" x14ac:dyDescent="0.25">
      <c r="C35" s="388"/>
      <c r="H35" s="389"/>
    </row>
    <row r="36" spans="3:8" x14ac:dyDescent="0.25">
      <c r="C36" s="699" t="s">
        <v>611</v>
      </c>
      <c r="D36" s="700"/>
      <c r="E36" s="700"/>
      <c r="F36" s="700"/>
      <c r="G36" s="700"/>
      <c r="H36" s="701"/>
    </row>
    <row r="37" spans="3:8" x14ac:dyDescent="0.25">
      <c r="C37" s="282" t="s">
        <v>605</v>
      </c>
      <c r="D37" s="282" t="s">
        <v>607</v>
      </c>
      <c r="E37" s="282" t="s">
        <v>608</v>
      </c>
      <c r="F37" s="681" t="s">
        <v>609</v>
      </c>
      <c r="G37" s="681"/>
      <c r="H37" s="282" t="s">
        <v>610</v>
      </c>
    </row>
    <row r="38" spans="3:8" x14ac:dyDescent="0.25">
      <c r="C38" s="53"/>
      <c r="D38" s="53"/>
      <c r="E38" s="53"/>
      <c r="F38" s="670"/>
      <c r="G38" s="671"/>
      <c r="H38" s="53"/>
    </row>
    <row r="39" spans="3:8" x14ac:dyDescent="0.25">
      <c r="C39" s="53"/>
      <c r="D39" s="53"/>
      <c r="E39" s="53"/>
      <c r="F39" s="670"/>
      <c r="G39" s="671"/>
      <c r="H39" s="53"/>
    </row>
    <row r="40" spans="3:8" x14ac:dyDescent="0.25">
      <c r="C40" s="53"/>
      <c r="D40" s="53"/>
      <c r="E40" s="53"/>
      <c r="F40" s="670"/>
      <c r="G40" s="671"/>
      <c r="H40" s="53"/>
    </row>
    <row r="41" spans="3:8" x14ac:dyDescent="0.25">
      <c r="C41" s="53"/>
      <c r="D41" s="53"/>
      <c r="E41" s="53"/>
      <c r="F41" s="670"/>
      <c r="G41" s="671"/>
      <c r="H41" s="53"/>
    </row>
    <row r="42" spans="3:8" x14ac:dyDescent="0.25">
      <c r="C42" s="53"/>
      <c r="D42" s="53"/>
      <c r="E42" s="53"/>
      <c r="F42" s="670"/>
      <c r="G42" s="671"/>
      <c r="H42" s="53"/>
    </row>
    <row r="43" spans="3:8" x14ac:dyDescent="0.25">
      <c r="C43" s="53"/>
      <c r="D43" s="53"/>
      <c r="E43" s="53"/>
      <c r="F43" s="670"/>
      <c r="G43" s="671"/>
      <c r="H43" s="53"/>
    </row>
    <row r="44" spans="3:8" x14ac:dyDescent="0.25">
      <c r="C44" s="53"/>
      <c r="D44" s="53"/>
      <c r="E44" s="53"/>
      <c r="F44" s="670"/>
      <c r="G44" s="671"/>
      <c r="H44" s="53"/>
    </row>
    <row r="45" spans="3:8" x14ac:dyDescent="0.25">
      <c r="C45" s="53"/>
      <c r="D45" s="53"/>
      <c r="E45" s="53"/>
      <c r="F45" s="670"/>
      <c r="G45" s="671"/>
      <c r="H45" s="53"/>
    </row>
    <row r="46" spans="3:8" x14ac:dyDescent="0.25">
      <c r="C46" s="392" t="s">
        <v>612</v>
      </c>
      <c r="D46" s="58"/>
      <c r="E46" s="58"/>
      <c r="F46" s="58"/>
      <c r="G46" s="58"/>
      <c r="H46" s="393"/>
    </row>
    <row r="47" spans="3:8" x14ac:dyDescent="0.25">
      <c r="C47" s="282" t="s">
        <v>607</v>
      </c>
      <c r="D47" s="282" t="s">
        <v>361</v>
      </c>
      <c r="E47" s="464"/>
      <c r="F47" s="464"/>
      <c r="G47" s="464"/>
      <c r="H47" s="398" t="s">
        <v>613</v>
      </c>
    </row>
    <row r="48" spans="3:8" x14ac:dyDescent="0.25">
      <c r="C48" s="688" t="s">
        <v>614</v>
      </c>
      <c r="D48" s="689"/>
      <c r="E48" s="689"/>
      <c r="F48" s="689"/>
      <c r="G48" s="689"/>
      <c r="H48" s="690"/>
    </row>
    <row r="49" spans="3:8" x14ac:dyDescent="0.25">
      <c r="C49" s="672"/>
      <c r="D49" s="673"/>
      <c r="E49" s="673"/>
      <c r="F49" s="673"/>
      <c r="G49" s="673"/>
      <c r="H49" s="674"/>
    </row>
    <row r="50" spans="3:8" x14ac:dyDescent="0.25">
      <c r="C50" s="675"/>
      <c r="D50" s="676"/>
      <c r="E50" s="676"/>
      <c r="F50" s="676"/>
      <c r="G50" s="676"/>
      <c r="H50" s="677"/>
    </row>
    <row r="51" spans="3:8" x14ac:dyDescent="0.25">
      <c r="C51" s="675"/>
      <c r="D51" s="676"/>
      <c r="E51" s="676"/>
      <c r="F51" s="676"/>
      <c r="G51" s="676"/>
      <c r="H51" s="677"/>
    </row>
    <row r="52" spans="3:8" x14ac:dyDescent="0.25">
      <c r="C52" s="675"/>
      <c r="D52" s="676"/>
      <c r="E52" s="676"/>
      <c r="F52" s="676"/>
      <c r="G52" s="676"/>
      <c r="H52" s="677"/>
    </row>
    <row r="53" spans="3:8" x14ac:dyDescent="0.25">
      <c r="C53" s="678"/>
      <c r="D53" s="679"/>
      <c r="E53" s="679"/>
      <c r="F53" s="679"/>
      <c r="G53" s="679"/>
      <c r="H53" s="680"/>
    </row>
  </sheetData>
  <mergeCells count="20">
    <mergeCell ref="F15:H15"/>
    <mergeCell ref="F37:G37"/>
    <mergeCell ref="F38:G38"/>
    <mergeCell ref="F39:G39"/>
    <mergeCell ref="F40:G40"/>
    <mergeCell ref="C49:H53"/>
    <mergeCell ref="C9:H10"/>
    <mergeCell ref="C8:H8"/>
    <mergeCell ref="C1:H2"/>
    <mergeCell ref="C48:H48"/>
    <mergeCell ref="C12:H13"/>
    <mergeCell ref="C11:H11"/>
    <mergeCell ref="E47:G47"/>
    <mergeCell ref="F41:G41"/>
    <mergeCell ref="F42:G42"/>
    <mergeCell ref="F43:G43"/>
    <mergeCell ref="F44:G44"/>
    <mergeCell ref="F45:G45"/>
    <mergeCell ref="C36:H36"/>
    <mergeCell ref="C15:D1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G29"/>
  <sheetViews>
    <sheetView workbookViewId="0">
      <selection activeCell="B22" sqref="B22:C22"/>
    </sheetView>
  </sheetViews>
  <sheetFormatPr baseColWidth="10" defaultColWidth="10.7109375" defaultRowHeight="15" x14ac:dyDescent="0.25"/>
  <cols>
    <col min="3" max="3" width="45.42578125" bestFit="1" customWidth="1"/>
    <col min="4" max="4" width="2.85546875" customWidth="1"/>
    <col min="5" max="5" width="2.5703125" customWidth="1"/>
    <col min="6" max="6" width="3" customWidth="1"/>
    <col min="7" max="7" width="2.5703125" customWidth="1"/>
    <col min="8" max="10" width="2.85546875" customWidth="1"/>
    <col min="11" max="11" width="2.7109375" customWidth="1"/>
    <col min="12" max="12" width="2.5703125" customWidth="1"/>
    <col min="13" max="33" width="3" bestFit="1" customWidth="1"/>
  </cols>
  <sheetData>
    <row r="1" spans="1:33" x14ac:dyDescent="0.25">
      <c r="A1" s="606"/>
      <c r="B1" s="606"/>
      <c r="C1" s="606"/>
      <c r="D1" s="606"/>
      <c r="E1" s="606"/>
      <c r="F1" s="606"/>
      <c r="G1" s="606"/>
      <c r="H1" s="606"/>
      <c r="I1" s="606"/>
      <c r="J1" s="606"/>
      <c r="K1" s="606"/>
      <c r="L1" s="606"/>
      <c r="M1" s="606"/>
      <c r="N1" s="606"/>
      <c r="O1" s="606"/>
      <c r="P1" s="606"/>
      <c r="Q1" s="606"/>
      <c r="R1" s="606"/>
      <c r="S1" s="606"/>
      <c r="T1" s="606"/>
      <c r="U1" s="606"/>
      <c r="V1" s="606"/>
      <c r="W1" s="606"/>
      <c r="X1" s="606"/>
      <c r="Y1" s="606"/>
      <c r="Z1" s="606"/>
      <c r="AA1" s="606"/>
      <c r="AB1" s="606"/>
      <c r="AC1" s="606"/>
      <c r="AD1" s="606"/>
      <c r="AE1" s="606"/>
      <c r="AF1" s="606"/>
      <c r="AG1" s="606"/>
    </row>
    <row r="2" spans="1:33" x14ac:dyDescent="0.25">
      <c r="B2" s="706" t="s">
        <v>639</v>
      </c>
      <c r="C2" s="706"/>
      <c r="D2" s="706"/>
      <c r="E2" s="706"/>
      <c r="F2" s="706"/>
      <c r="G2" s="706"/>
      <c r="H2" s="706"/>
      <c r="I2" s="706"/>
      <c r="J2" s="706"/>
      <c r="K2" s="706"/>
      <c r="L2" s="706"/>
      <c r="M2" s="706"/>
      <c r="N2" s="706"/>
      <c r="O2" s="706"/>
      <c r="P2" s="706"/>
      <c r="Q2" s="706"/>
      <c r="R2" s="706"/>
      <c r="S2" s="706"/>
      <c r="T2" s="706"/>
      <c r="U2" s="706"/>
      <c r="V2" s="706"/>
      <c r="W2" s="706"/>
      <c r="X2" s="706"/>
      <c r="Y2" s="439" t="s">
        <v>638</v>
      </c>
      <c r="Z2" s="439"/>
      <c r="AA2" s="439"/>
      <c r="AB2" s="439"/>
      <c r="AC2" s="439"/>
      <c r="AD2" s="439"/>
      <c r="AE2" s="439"/>
      <c r="AF2" s="439"/>
      <c r="AG2" s="439"/>
    </row>
    <row r="3" spans="1:33" x14ac:dyDescent="0.25">
      <c r="D3" s="692"/>
      <c r="E3" s="692"/>
      <c r="F3" s="692"/>
      <c r="G3" s="692"/>
      <c r="H3" s="692"/>
      <c r="I3" s="692"/>
      <c r="J3" s="692"/>
      <c r="K3" s="692"/>
      <c r="L3" s="692"/>
      <c r="M3" s="692"/>
      <c r="N3" s="692"/>
      <c r="O3" s="692"/>
      <c r="P3" s="692"/>
      <c r="Q3" s="692"/>
      <c r="R3" s="692"/>
      <c r="S3" s="692"/>
      <c r="T3" s="692"/>
      <c r="U3" s="692"/>
      <c r="V3" s="692"/>
      <c r="W3" s="692"/>
      <c r="X3" s="692"/>
      <c r="Y3" s="692"/>
      <c r="Z3" s="692"/>
      <c r="AA3" s="692"/>
      <c r="AB3" s="692"/>
      <c r="AC3" s="692"/>
      <c r="AD3" s="692"/>
      <c r="AE3" s="692"/>
      <c r="AF3" s="692"/>
      <c r="AG3" s="692"/>
    </row>
    <row r="4" spans="1:33" x14ac:dyDescent="0.25">
      <c r="B4" s="357" t="s">
        <v>622</v>
      </c>
      <c r="C4" s="6"/>
      <c r="D4" s="665"/>
      <c r="E4" s="665"/>
      <c r="F4" s="665"/>
      <c r="G4" s="665"/>
      <c r="H4" s="665"/>
      <c r="I4" s="665"/>
      <c r="J4" s="665"/>
      <c r="K4" s="665"/>
      <c r="L4" s="665"/>
      <c r="M4" s="665"/>
      <c r="N4" s="665"/>
      <c r="O4" s="665"/>
      <c r="P4" s="665"/>
      <c r="Q4" s="665"/>
      <c r="R4" s="665"/>
      <c r="S4" s="665"/>
      <c r="T4" s="665"/>
      <c r="U4" s="665"/>
      <c r="V4" s="665"/>
      <c r="W4" s="665"/>
      <c r="X4" s="665"/>
      <c r="Y4" s="665"/>
      <c r="Z4" s="665"/>
      <c r="AA4" s="665"/>
      <c r="AB4" s="665"/>
      <c r="AC4" s="665"/>
      <c r="AD4" s="665"/>
      <c r="AE4" s="665"/>
      <c r="AF4" s="665"/>
      <c r="AG4" s="665"/>
    </row>
    <row r="5" spans="1:33" x14ac:dyDescent="0.25">
      <c r="D5" s="290">
        <v>1</v>
      </c>
      <c r="E5" s="290">
        <v>2</v>
      </c>
      <c r="F5" s="290">
        <v>3</v>
      </c>
      <c r="G5" s="290">
        <v>4</v>
      </c>
      <c r="H5" s="290">
        <v>5</v>
      </c>
      <c r="I5" s="290">
        <v>6</v>
      </c>
      <c r="J5" s="290">
        <v>7</v>
      </c>
      <c r="K5" s="290">
        <v>8</v>
      </c>
      <c r="L5" s="290">
        <v>9</v>
      </c>
      <c r="M5" s="290">
        <v>10</v>
      </c>
      <c r="N5" s="290">
        <v>11</v>
      </c>
      <c r="O5" s="290">
        <v>12</v>
      </c>
      <c r="P5" s="290">
        <v>13</v>
      </c>
      <c r="Q5" s="290">
        <v>14</v>
      </c>
      <c r="R5" s="290">
        <v>15</v>
      </c>
      <c r="S5" s="290">
        <v>16</v>
      </c>
      <c r="T5" s="290">
        <v>17</v>
      </c>
      <c r="U5" s="290">
        <v>18</v>
      </c>
      <c r="V5" s="290">
        <v>19</v>
      </c>
      <c r="W5" s="290">
        <v>20</v>
      </c>
      <c r="X5" s="290">
        <v>21</v>
      </c>
      <c r="Y5" s="290">
        <v>22</v>
      </c>
      <c r="Z5" s="290">
        <v>23</v>
      </c>
      <c r="AA5" s="290">
        <v>24</v>
      </c>
      <c r="AB5" s="290">
        <v>25</v>
      </c>
      <c r="AC5" s="290">
        <v>26</v>
      </c>
      <c r="AD5" s="290">
        <v>27</v>
      </c>
      <c r="AE5" s="290">
        <v>28</v>
      </c>
      <c r="AF5" s="290">
        <v>29</v>
      </c>
      <c r="AG5" s="290">
        <v>30</v>
      </c>
    </row>
    <row r="6" spans="1:33" x14ac:dyDescent="0.25">
      <c r="B6" s="703" t="s">
        <v>623</v>
      </c>
      <c r="C6" s="704"/>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x14ac:dyDescent="0.25">
      <c r="B7" s="53">
        <v>1</v>
      </c>
      <c r="C7" s="6" t="s">
        <v>624</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row>
    <row r="8" spans="1:33" x14ac:dyDescent="0.25">
      <c r="B8" s="53">
        <v>2</v>
      </c>
      <c r="C8" s="6" t="s">
        <v>625</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row>
    <row r="9" spans="1:33" x14ac:dyDescent="0.25">
      <c r="B9" s="53">
        <v>3</v>
      </c>
      <c r="C9" s="6" t="s">
        <v>626</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spans="1:33" x14ac:dyDescent="0.25">
      <c r="B10" s="53">
        <v>4</v>
      </c>
      <c r="C10" s="6" t="s">
        <v>627</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row>
    <row r="11" spans="1:33" x14ac:dyDescent="0.25">
      <c r="B11" s="703" t="s">
        <v>628</v>
      </c>
      <c r="C11" s="704"/>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x14ac:dyDescent="0.25">
      <c r="B12" s="53">
        <v>1</v>
      </c>
      <c r="C12" s="6" t="s">
        <v>629</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row>
    <row r="13" spans="1:33" x14ac:dyDescent="0.25">
      <c r="B13" s="53">
        <v>2</v>
      </c>
      <c r="C13" s="6" t="s">
        <v>630</v>
      </c>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row>
    <row r="14" spans="1:33" x14ac:dyDescent="0.25">
      <c r="B14" s="53">
        <v>3</v>
      </c>
      <c r="C14" s="6" t="s">
        <v>631</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row>
    <row r="15" spans="1:33" x14ac:dyDescent="0.25">
      <c r="B15" s="53">
        <v>4</v>
      </c>
      <c r="C15" s="6" t="s">
        <v>632</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row>
    <row r="16" spans="1:33" x14ac:dyDescent="0.25">
      <c r="B16" s="53">
        <v>5</v>
      </c>
      <c r="C16" s="6" t="s">
        <v>633</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row>
    <row r="17" spans="2:33" x14ac:dyDescent="0.25">
      <c r="B17" s="703" t="s">
        <v>634</v>
      </c>
      <c r="C17" s="704"/>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row>
    <row r="18" spans="2:33" x14ac:dyDescent="0.25">
      <c r="B18" s="53">
        <v>1</v>
      </c>
      <c r="C18" s="6" t="s">
        <v>635</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row>
    <row r="19" spans="2:33" x14ac:dyDescent="0.25">
      <c r="B19" s="53">
        <v>2</v>
      </c>
      <c r="C19" s="6" t="s">
        <v>636</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row>
    <row r="20" spans="2:33" x14ac:dyDescent="0.25">
      <c r="B20" s="53">
        <v>3</v>
      </c>
      <c r="C20" s="6" t="s">
        <v>637</v>
      </c>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row>
    <row r="22" spans="2:33" x14ac:dyDescent="0.25">
      <c r="B22" s="703" t="s">
        <v>640</v>
      </c>
      <c r="C22" s="704"/>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row>
    <row r="24" spans="2:33" x14ac:dyDescent="0.25">
      <c r="B24" s="705" t="s">
        <v>641</v>
      </c>
      <c r="C24" s="705"/>
      <c r="D24" s="705"/>
      <c r="E24" s="705"/>
      <c r="F24" s="705"/>
      <c r="G24" s="705"/>
      <c r="H24" s="705"/>
      <c r="I24" s="705"/>
      <c r="J24" s="705"/>
      <c r="K24" s="705"/>
      <c r="L24" s="705"/>
      <c r="M24" s="705"/>
      <c r="N24" s="705"/>
      <c r="O24" s="705"/>
      <c r="P24" s="705"/>
      <c r="Q24" s="705"/>
      <c r="R24" s="705"/>
      <c r="S24" s="705"/>
      <c r="T24" s="705"/>
      <c r="U24" s="705"/>
      <c r="V24" s="705"/>
      <c r="W24" s="705"/>
      <c r="X24" s="705"/>
      <c r="Y24" s="705"/>
      <c r="Z24" s="705"/>
      <c r="AA24" s="705"/>
      <c r="AB24" s="705"/>
      <c r="AC24" s="705"/>
      <c r="AD24" s="705"/>
      <c r="AE24" s="705"/>
      <c r="AF24" s="705"/>
      <c r="AG24" s="705"/>
    </row>
    <row r="25" spans="2:33" x14ac:dyDescent="0.25">
      <c r="B25" s="705"/>
      <c r="C25" s="705"/>
      <c r="D25" s="705"/>
      <c r="E25" s="705"/>
      <c r="F25" s="705"/>
      <c r="G25" s="705"/>
      <c r="H25" s="705"/>
      <c r="I25" s="705"/>
      <c r="J25" s="705"/>
      <c r="K25" s="705"/>
      <c r="L25" s="705"/>
      <c r="M25" s="705"/>
      <c r="N25" s="705"/>
      <c r="O25" s="705"/>
      <c r="P25" s="705"/>
      <c r="Q25" s="705"/>
      <c r="R25" s="705"/>
      <c r="S25" s="705"/>
      <c r="T25" s="705"/>
      <c r="U25" s="705"/>
      <c r="V25" s="705"/>
      <c r="W25" s="705"/>
      <c r="X25" s="705"/>
      <c r="Y25" s="705"/>
      <c r="Z25" s="705"/>
      <c r="AA25" s="705"/>
      <c r="AB25" s="705"/>
      <c r="AC25" s="705"/>
      <c r="AD25" s="705"/>
      <c r="AE25" s="705"/>
      <c r="AF25" s="705"/>
      <c r="AG25" s="705"/>
    </row>
    <row r="26" spans="2:33" x14ac:dyDescent="0.25">
      <c r="B26" s="705"/>
      <c r="C26" s="705"/>
      <c r="D26" s="705"/>
      <c r="E26" s="705"/>
      <c r="F26" s="705"/>
      <c r="G26" s="705"/>
      <c r="H26" s="705"/>
      <c r="I26" s="705"/>
      <c r="J26" s="705"/>
      <c r="K26" s="705"/>
      <c r="L26" s="705"/>
      <c r="M26" s="705"/>
      <c r="N26" s="705"/>
      <c r="O26" s="705"/>
      <c r="P26" s="705"/>
      <c r="Q26" s="705"/>
      <c r="R26" s="705"/>
      <c r="S26" s="705"/>
      <c r="T26" s="705"/>
      <c r="U26" s="705"/>
      <c r="V26" s="705"/>
      <c r="W26" s="705"/>
      <c r="X26" s="705"/>
      <c r="Y26" s="705"/>
      <c r="Z26" s="705"/>
      <c r="AA26" s="705"/>
      <c r="AB26" s="705"/>
      <c r="AC26" s="705"/>
      <c r="AD26" s="705"/>
      <c r="AE26" s="705"/>
      <c r="AF26" s="705"/>
      <c r="AG26" s="705"/>
    </row>
    <row r="27" spans="2:33" x14ac:dyDescent="0.25">
      <c r="B27" s="705"/>
      <c r="C27" s="705"/>
      <c r="D27" s="705"/>
      <c r="E27" s="705"/>
      <c r="F27" s="705"/>
      <c r="G27" s="705"/>
      <c r="H27" s="705"/>
      <c r="I27" s="705"/>
      <c r="J27" s="705"/>
      <c r="K27" s="705"/>
      <c r="L27" s="705"/>
      <c r="M27" s="705"/>
      <c r="N27" s="705"/>
      <c r="O27" s="705"/>
      <c r="P27" s="705"/>
      <c r="Q27" s="705"/>
      <c r="R27" s="705"/>
      <c r="S27" s="705"/>
      <c r="T27" s="705"/>
      <c r="U27" s="705"/>
      <c r="V27" s="705"/>
      <c r="W27" s="705"/>
      <c r="X27" s="705"/>
      <c r="Y27" s="705"/>
      <c r="Z27" s="705"/>
      <c r="AA27" s="705"/>
      <c r="AB27" s="705"/>
      <c r="AC27" s="705"/>
      <c r="AD27" s="705"/>
      <c r="AE27" s="705"/>
      <c r="AF27" s="705"/>
      <c r="AG27" s="705"/>
    </row>
    <row r="28" spans="2:33" x14ac:dyDescent="0.25">
      <c r="B28" s="705"/>
      <c r="C28" s="705"/>
      <c r="D28" s="705"/>
      <c r="E28" s="705"/>
      <c r="F28" s="705"/>
      <c r="G28" s="705"/>
      <c r="H28" s="705"/>
      <c r="I28" s="705"/>
      <c r="J28" s="705"/>
      <c r="K28" s="705"/>
      <c r="L28" s="705"/>
      <c r="M28" s="705"/>
      <c r="N28" s="705"/>
      <c r="O28" s="705"/>
      <c r="P28" s="705"/>
      <c r="Q28" s="705"/>
      <c r="R28" s="705"/>
      <c r="S28" s="705"/>
      <c r="T28" s="705"/>
      <c r="U28" s="705"/>
      <c r="V28" s="705"/>
      <c r="W28" s="705"/>
      <c r="X28" s="705"/>
      <c r="Y28" s="705"/>
      <c r="Z28" s="705"/>
      <c r="AA28" s="705"/>
      <c r="AB28" s="705"/>
      <c r="AC28" s="705"/>
      <c r="AD28" s="705"/>
      <c r="AE28" s="705"/>
      <c r="AF28" s="705"/>
      <c r="AG28" s="705"/>
    </row>
    <row r="29" spans="2:33" x14ac:dyDescent="0.25">
      <c r="B29" s="705"/>
      <c r="C29" s="705"/>
      <c r="D29" s="705"/>
      <c r="E29" s="705"/>
      <c r="F29" s="705"/>
      <c r="G29" s="705"/>
      <c r="H29" s="705"/>
      <c r="I29" s="705"/>
      <c r="J29" s="705"/>
      <c r="K29" s="705"/>
      <c r="L29" s="705"/>
      <c r="M29" s="705"/>
      <c r="N29" s="705"/>
      <c r="O29" s="705"/>
      <c r="P29" s="705"/>
      <c r="Q29" s="705"/>
      <c r="R29" s="705"/>
      <c r="S29" s="705"/>
      <c r="T29" s="705"/>
      <c r="U29" s="705"/>
      <c r="V29" s="705"/>
      <c r="W29" s="705"/>
      <c r="X29" s="705"/>
      <c r="Y29" s="705"/>
      <c r="Z29" s="705"/>
      <c r="AA29" s="705"/>
      <c r="AB29" s="705"/>
      <c r="AC29" s="705"/>
      <c r="AD29" s="705"/>
      <c r="AE29" s="705"/>
      <c r="AF29" s="705"/>
      <c r="AG29" s="705"/>
    </row>
  </sheetData>
  <mergeCells count="10">
    <mergeCell ref="B22:C22"/>
    <mergeCell ref="B24:AG29"/>
    <mergeCell ref="Y2:AB2"/>
    <mergeCell ref="AC2:AG2"/>
    <mergeCell ref="B2:X2"/>
    <mergeCell ref="A1:AG1"/>
    <mergeCell ref="D3:AG4"/>
    <mergeCell ref="B6:C6"/>
    <mergeCell ref="B11:C11"/>
    <mergeCell ref="B17:C1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G37"/>
  <sheetViews>
    <sheetView workbookViewId="0">
      <selection activeCell="C5" sqref="C5"/>
    </sheetView>
  </sheetViews>
  <sheetFormatPr baseColWidth="10" defaultColWidth="11.42578125" defaultRowHeight="15" x14ac:dyDescent="0.25"/>
  <cols>
    <col min="1" max="2" width="11.42578125" style="54"/>
    <col min="3" max="3" width="45.42578125" style="54" bestFit="1" customWidth="1"/>
    <col min="4" max="4" width="2.85546875" style="54" customWidth="1"/>
    <col min="5" max="6" width="2.5703125" style="54" customWidth="1"/>
    <col min="7" max="7" width="2.85546875" style="54" customWidth="1"/>
    <col min="8" max="9" width="2.7109375" style="54" customWidth="1"/>
    <col min="10" max="10" width="2.85546875" style="54" customWidth="1"/>
    <col min="11" max="12" width="2.7109375" style="54" customWidth="1"/>
    <col min="13" max="33" width="3" style="54" bestFit="1" customWidth="1"/>
    <col min="34" max="16384" width="11.42578125" style="54"/>
  </cols>
  <sheetData>
    <row r="2" spans="2:33" x14ac:dyDescent="0.25">
      <c r="B2" s="709" t="s">
        <v>814</v>
      </c>
      <c r="C2" s="709"/>
      <c r="D2" s="709"/>
      <c r="E2" s="709"/>
      <c r="F2" s="709"/>
      <c r="G2" s="709"/>
      <c r="H2" s="709"/>
      <c r="I2" s="709"/>
      <c r="J2" s="709"/>
      <c r="K2" s="709"/>
      <c r="L2" s="709"/>
      <c r="M2" s="709"/>
      <c r="N2" s="709"/>
      <c r="O2" s="709"/>
      <c r="P2" s="709"/>
      <c r="Q2" s="709"/>
      <c r="R2" s="709"/>
      <c r="S2" s="709"/>
      <c r="T2" s="709"/>
      <c r="U2" s="709"/>
      <c r="V2" s="709"/>
      <c r="W2" s="709"/>
      <c r="X2" s="709"/>
      <c r="Y2" s="709"/>
      <c r="Z2" s="709"/>
      <c r="AA2" s="709"/>
      <c r="AB2" s="709"/>
      <c r="AC2" s="709"/>
      <c r="AD2" s="709"/>
      <c r="AE2" s="709"/>
      <c r="AF2" s="709"/>
      <c r="AG2" s="709"/>
    </row>
    <row r="3" spans="2:33" x14ac:dyDescent="0.25">
      <c r="B3" s="709"/>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row>
    <row r="4" spans="2:33" ht="21" x14ac:dyDescent="0.25">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row>
    <row r="5" spans="2:33" x14ac:dyDescent="0.25">
      <c r="B5" s="367" t="s">
        <v>622</v>
      </c>
      <c r="C5" s="53"/>
      <c r="D5" s="369"/>
      <c r="E5" s="369"/>
      <c r="F5" s="369"/>
      <c r="G5" s="369"/>
      <c r="H5" s="369"/>
      <c r="I5" s="369"/>
      <c r="J5" s="369"/>
      <c r="K5" s="369"/>
      <c r="L5" s="369"/>
      <c r="M5" s="369"/>
      <c r="N5" s="369"/>
      <c r="O5" s="369"/>
      <c r="P5" s="369"/>
      <c r="Q5" s="369"/>
      <c r="R5" s="369"/>
      <c r="S5" s="369"/>
      <c r="T5" s="707" t="s">
        <v>638</v>
      </c>
      <c r="U5" s="707"/>
      <c r="V5" s="707"/>
      <c r="W5" s="707"/>
      <c r="X5" s="707"/>
      <c r="Y5" s="707"/>
      <c r="Z5" s="439"/>
      <c r="AA5" s="439"/>
      <c r="AB5" s="439"/>
      <c r="AC5" s="439"/>
      <c r="AD5" s="439"/>
      <c r="AE5" s="439"/>
      <c r="AF5" s="439"/>
      <c r="AG5" s="439"/>
    </row>
    <row r="6" spans="2:33" x14ac:dyDescent="0.25">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row>
    <row r="7" spans="2:33" x14ac:dyDescent="0.25">
      <c r="B7" s="369"/>
      <c r="C7" s="369"/>
      <c r="D7" s="711" t="s">
        <v>811</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1"/>
      <c r="AD7" s="711"/>
      <c r="AE7" s="711"/>
      <c r="AF7" s="711"/>
      <c r="AG7" s="711"/>
    </row>
    <row r="8" spans="2:33" x14ac:dyDescent="0.25">
      <c r="B8" s="711" t="s">
        <v>812</v>
      </c>
      <c r="C8" s="711"/>
      <c r="D8" s="286">
        <v>1</v>
      </c>
      <c r="E8" s="286">
        <v>2</v>
      </c>
      <c r="F8" s="286">
        <v>3</v>
      </c>
      <c r="G8" s="286">
        <v>4</v>
      </c>
      <c r="H8" s="286">
        <v>5</v>
      </c>
      <c r="I8" s="286">
        <v>6</v>
      </c>
      <c r="J8" s="286">
        <v>7</v>
      </c>
      <c r="K8" s="286">
        <v>8</v>
      </c>
      <c r="L8" s="286">
        <v>9</v>
      </c>
      <c r="M8" s="286">
        <v>10</v>
      </c>
      <c r="N8" s="286">
        <v>11</v>
      </c>
      <c r="O8" s="286">
        <v>12</v>
      </c>
      <c r="P8" s="286">
        <v>13</v>
      </c>
      <c r="Q8" s="286">
        <v>14</v>
      </c>
      <c r="R8" s="286">
        <v>15</v>
      </c>
      <c r="S8" s="286">
        <v>16</v>
      </c>
      <c r="T8" s="286">
        <v>17</v>
      </c>
      <c r="U8" s="286">
        <v>18</v>
      </c>
      <c r="V8" s="286">
        <v>19</v>
      </c>
      <c r="W8" s="286">
        <v>20</v>
      </c>
      <c r="X8" s="286">
        <v>21</v>
      </c>
      <c r="Y8" s="286">
        <v>22</v>
      </c>
      <c r="Z8" s="286">
        <v>23</v>
      </c>
      <c r="AA8" s="286">
        <v>24</v>
      </c>
      <c r="AB8" s="286">
        <v>25</v>
      </c>
      <c r="AC8" s="286">
        <v>26</v>
      </c>
      <c r="AD8" s="286">
        <v>27</v>
      </c>
      <c r="AE8" s="286">
        <v>28</v>
      </c>
      <c r="AF8" s="286">
        <v>29</v>
      </c>
      <c r="AG8" s="286">
        <v>30</v>
      </c>
    </row>
    <row r="9" spans="2:33" x14ac:dyDescent="0.25">
      <c r="B9" s="710" t="s">
        <v>803</v>
      </c>
      <c r="C9" s="710"/>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row>
    <row r="10" spans="2:33" x14ac:dyDescent="0.25">
      <c r="B10" s="46">
        <v>1</v>
      </c>
      <c r="C10" s="365" t="s">
        <v>797</v>
      </c>
      <c r="D10" s="53"/>
      <c r="E10" s="53"/>
      <c r="F10" s="53"/>
      <c r="G10" s="53"/>
      <c r="H10" s="53" t="s">
        <v>439</v>
      </c>
      <c r="I10" s="53"/>
      <c r="J10" s="53"/>
      <c r="K10" s="53"/>
      <c r="L10" s="53"/>
      <c r="M10" s="53"/>
      <c r="N10" s="53"/>
      <c r="O10" s="53" t="s">
        <v>439</v>
      </c>
      <c r="P10" s="53"/>
      <c r="Q10" s="53"/>
      <c r="R10" s="53"/>
      <c r="S10" s="53"/>
      <c r="T10" s="53"/>
      <c r="U10" s="53"/>
      <c r="V10" s="53" t="s">
        <v>439</v>
      </c>
      <c r="W10" s="53"/>
      <c r="X10" s="53"/>
      <c r="Y10" s="53"/>
      <c r="Z10" s="53"/>
      <c r="AA10" s="53"/>
      <c r="AB10" s="53"/>
      <c r="AC10" s="53" t="s">
        <v>439</v>
      </c>
      <c r="AD10" s="53"/>
      <c r="AE10" s="53"/>
      <c r="AF10" s="53"/>
      <c r="AG10" s="53"/>
    </row>
    <row r="11" spans="2:33" x14ac:dyDescent="0.25">
      <c r="B11" s="46">
        <v>2</v>
      </c>
      <c r="C11" s="365" t="s">
        <v>798</v>
      </c>
      <c r="D11" s="53"/>
      <c r="E11" s="53"/>
      <c r="F11" s="53"/>
      <c r="G11" s="53"/>
      <c r="H11" s="53" t="s">
        <v>439</v>
      </c>
      <c r="I11" s="53"/>
      <c r="J11" s="53"/>
      <c r="K11" s="53"/>
      <c r="L11" s="53"/>
      <c r="M11" s="53"/>
      <c r="N11" s="53"/>
      <c r="O11" s="53" t="s">
        <v>439</v>
      </c>
      <c r="P11" s="53"/>
      <c r="Q11" s="53"/>
      <c r="R11" s="53"/>
      <c r="S11" s="53"/>
      <c r="T11" s="53"/>
      <c r="U11" s="53"/>
      <c r="V11" s="53" t="s">
        <v>439</v>
      </c>
      <c r="W11" s="53"/>
      <c r="X11" s="53"/>
      <c r="Y11" s="53"/>
      <c r="Z11" s="53"/>
      <c r="AA11" s="53"/>
      <c r="AB11" s="53"/>
      <c r="AC11" s="53" t="s">
        <v>439</v>
      </c>
      <c r="AD11" s="53"/>
      <c r="AE11" s="53"/>
      <c r="AF11" s="53"/>
      <c r="AG11" s="53"/>
    </row>
    <row r="12" spans="2:33" x14ac:dyDescent="0.25">
      <c r="B12" s="46">
        <v>3</v>
      </c>
      <c r="C12" s="365" t="s">
        <v>799</v>
      </c>
      <c r="D12" s="53"/>
      <c r="E12" s="53"/>
      <c r="F12" s="53"/>
      <c r="G12" s="53"/>
      <c r="H12" s="53" t="s">
        <v>439</v>
      </c>
      <c r="I12" s="53"/>
      <c r="J12" s="53"/>
      <c r="K12" s="53"/>
      <c r="L12" s="53"/>
      <c r="M12" s="53"/>
      <c r="N12" s="53"/>
      <c r="O12" s="53" t="s">
        <v>439</v>
      </c>
      <c r="P12" s="53"/>
      <c r="Q12" s="53"/>
      <c r="R12" s="53"/>
      <c r="S12" s="53"/>
      <c r="T12" s="53"/>
      <c r="U12" s="53"/>
      <c r="V12" s="53" t="s">
        <v>439</v>
      </c>
      <c r="W12" s="53"/>
      <c r="X12" s="53"/>
      <c r="Y12" s="53"/>
      <c r="Z12" s="53"/>
      <c r="AA12" s="53"/>
      <c r="AB12" s="53"/>
      <c r="AC12" s="53" t="s">
        <v>439</v>
      </c>
      <c r="AD12" s="53"/>
      <c r="AE12" s="53"/>
      <c r="AF12" s="53"/>
      <c r="AG12" s="53"/>
    </row>
    <row r="13" spans="2:33" x14ac:dyDescent="0.25">
      <c r="B13" s="46">
        <v>4</v>
      </c>
      <c r="C13" s="365" t="s">
        <v>800</v>
      </c>
      <c r="D13" s="53"/>
      <c r="E13" s="53"/>
      <c r="F13" s="53"/>
      <c r="G13" s="53"/>
      <c r="H13" s="54" t="s">
        <v>439</v>
      </c>
      <c r="I13" s="53"/>
      <c r="J13" s="53"/>
      <c r="K13" s="53"/>
      <c r="L13" s="53"/>
      <c r="M13" s="53"/>
      <c r="N13" s="53"/>
      <c r="O13" s="53" t="s">
        <v>439</v>
      </c>
      <c r="P13" s="53"/>
      <c r="Q13" s="53"/>
      <c r="R13" s="53"/>
      <c r="S13" s="53"/>
      <c r="T13" s="53"/>
      <c r="U13" s="53"/>
      <c r="V13" s="53" t="s">
        <v>439</v>
      </c>
      <c r="W13" s="53"/>
      <c r="X13" s="53"/>
      <c r="Y13" s="53"/>
      <c r="Z13" s="53"/>
      <c r="AA13" s="53"/>
      <c r="AB13" s="53"/>
      <c r="AC13" s="53" t="s">
        <v>439</v>
      </c>
      <c r="AD13" s="53"/>
      <c r="AE13" s="53"/>
      <c r="AF13" s="53"/>
      <c r="AG13" s="53"/>
    </row>
    <row r="14" spans="2:33" x14ac:dyDescent="0.25">
      <c r="B14" s="46">
        <v>5</v>
      </c>
      <c r="C14" s="365" t="s">
        <v>815</v>
      </c>
      <c r="D14" s="53"/>
      <c r="E14" s="53"/>
      <c r="F14" s="53"/>
      <c r="G14" s="53"/>
      <c r="H14" s="53" t="s">
        <v>439</v>
      </c>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row>
    <row r="15" spans="2:33" x14ac:dyDescent="0.25">
      <c r="B15" s="710" t="s">
        <v>802</v>
      </c>
      <c r="C15" s="710"/>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row>
    <row r="16" spans="2:33" x14ac:dyDescent="0.25">
      <c r="B16" s="46">
        <v>6</v>
      </c>
      <c r="C16" s="365" t="s">
        <v>629</v>
      </c>
      <c r="D16" s="53"/>
      <c r="E16" s="53"/>
      <c r="F16" s="53"/>
      <c r="G16" s="53"/>
      <c r="H16" s="53"/>
      <c r="I16" s="53"/>
      <c r="J16" s="53"/>
      <c r="K16" s="53"/>
      <c r="L16" s="53"/>
      <c r="M16" s="53"/>
      <c r="N16" s="53"/>
      <c r="O16" s="53"/>
      <c r="P16" s="53" t="s">
        <v>439</v>
      </c>
      <c r="Q16" s="53"/>
      <c r="R16" s="53"/>
      <c r="S16" s="53"/>
      <c r="T16" s="53"/>
      <c r="U16" s="53"/>
      <c r="V16" s="53"/>
      <c r="W16" s="53"/>
      <c r="X16" s="53"/>
      <c r="Y16" s="53"/>
      <c r="Z16" s="53"/>
      <c r="AA16" s="53"/>
      <c r="AB16" s="53"/>
      <c r="AC16" s="53"/>
      <c r="AD16" s="53"/>
      <c r="AE16" s="53"/>
      <c r="AF16" s="53"/>
      <c r="AG16" s="53"/>
    </row>
    <row r="17" spans="2:33" x14ac:dyDescent="0.25">
      <c r="B17" s="46">
        <v>7</v>
      </c>
      <c r="C17" s="365" t="s">
        <v>630</v>
      </c>
      <c r="D17" s="53"/>
      <c r="E17" s="53"/>
      <c r="F17" s="53"/>
      <c r="G17" s="53"/>
      <c r="H17" s="53"/>
      <c r="I17" s="53"/>
      <c r="J17" s="53"/>
      <c r="K17" s="53"/>
      <c r="L17" s="53"/>
      <c r="M17" s="53"/>
      <c r="N17" s="53"/>
      <c r="O17" s="53"/>
      <c r="P17" s="53" t="s">
        <v>439</v>
      </c>
      <c r="Q17" s="53"/>
      <c r="R17" s="53"/>
      <c r="S17" s="53"/>
      <c r="T17" s="53"/>
      <c r="U17" s="53"/>
      <c r="V17" s="53"/>
      <c r="W17" s="53"/>
      <c r="X17" s="53"/>
      <c r="Y17" s="53"/>
      <c r="Z17" s="53"/>
      <c r="AA17" s="53"/>
      <c r="AB17" s="53"/>
      <c r="AC17" s="53"/>
      <c r="AD17" s="53"/>
      <c r="AE17" s="53"/>
      <c r="AF17" s="53"/>
      <c r="AG17" s="53"/>
    </row>
    <row r="18" spans="2:33" x14ac:dyDescent="0.25">
      <c r="B18" s="46">
        <v>8</v>
      </c>
      <c r="C18" s="365" t="s">
        <v>631</v>
      </c>
      <c r="D18" s="53"/>
      <c r="E18" s="53"/>
      <c r="F18" s="53"/>
      <c r="G18" s="53"/>
      <c r="H18" s="53"/>
      <c r="I18" s="53"/>
      <c r="J18" s="53"/>
      <c r="K18" s="53"/>
      <c r="L18" s="53"/>
      <c r="M18" s="53"/>
      <c r="N18" s="53"/>
      <c r="O18" s="53"/>
      <c r="P18" s="53"/>
      <c r="Q18" s="53" t="s">
        <v>439</v>
      </c>
      <c r="R18" s="53"/>
      <c r="S18" s="53"/>
      <c r="T18" s="53"/>
      <c r="U18" s="53"/>
      <c r="V18" s="53"/>
      <c r="W18" s="53"/>
      <c r="X18" s="53"/>
      <c r="Y18" s="53"/>
      <c r="Z18" s="53"/>
      <c r="AA18" s="53"/>
      <c r="AB18" s="53"/>
      <c r="AC18" s="53"/>
      <c r="AD18" s="53"/>
      <c r="AE18" s="53"/>
      <c r="AF18" s="53"/>
      <c r="AG18" s="53"/>
    </row>
    <row r="19" spans="2:33" x14ac:dyDescent="0.25">
      <c r="B19" s="46">
        <v>9</v>
      </c>
      <c r="C19" s="365" t="s">
        <v>632</v>
      </c>
      <c r="D19" s="53"/>
      <c r="E19" s="53"/>
      <c r="F19" s="53"/>
      <c r="G19" s="53"/>
      <c r="H19" s="53"/>
      <c r="I19" s="53"/>
      <c r="J19" s="53"/>
      <c r="K19" s="53"/>
      <c r="L19" s="53"/>
      <c r="M19" s="53"/>
      <c r="N19" s="53"/>
      <c r="O19" s="53"/>
      <c r="P19" s="53"/>
      <c r="Q19" s="53" t="s">
        <v>439</v>
      </c>
      <c r="R19" s="53"/>
      <c r="S19" s="53"/>
      <c r="T19" s="53"/>
      <c r="U19" s="53"/>
      <c r="V19" s="53"/>
      <c r="W19" s="53"/>
      <c r="X19" s="53"/>
      <c r="Y19" s="53"/>
      <c r="Z19" s="53"/>
      <c r="AA19" s="53"/>
      <c r="AB19" s="53"/>
      <c r="AC19" s="53"/>
      <c r="AD19" s="53"/>
      <c r="AE19" s="53"/>
      <c r="AF19" s="53"/>
      <c r="AG19" s="53"/>
    </row>
    <row r="20" spans="2:33" x14ac:dyDescent="0.25">
      <c r="B20" s="710" t="s">
        <v>801</v>
      </c>
      <c r="C20" s="710"/>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row>
    <row r="21" spans="2:33" x14ac:dyDescent="0.25">
      <c r="B21" s="46">
        <v>10</v>
      </c>
      <c r="C21" s="365" t="s">
        <v>804</v>
      </c>
      <c r="D21" s="53"/>
      <c r="E21" s="53" t="s">
        <v>439</v>
      </c>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row>
    <row r="22" spans="2:33" x14ac:dyDescent="0.25">
      <c r="B22" s="46">
        <v>11</v>
      </c>
      <c r="C22" s="365" t="s">
        <v>805</v>
      </c>
      <c r="D22" s="53"/>
      <c r="E22" s="53" t="s">
        <v>439</v>
      </c>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row>
    <row r="23" spans="2:33" x14ac:dyDescent="0.25">
      <c r="B23" s="710" t="s">
        <v>806</v>
      </c>
      <c r="C23" s="710"/>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row>
    <row r="24" spans="2:33" x14ac:dyDescent="0.25">
      <c r="B24" s="46">
        <v>12</v>
      </c>
      <c r="C24" s="365" t="s">
        <v>807</v>
      </c>
      <c r="D24" s="53"/>
      <c r="E24" s="53"/>
      <c r="F24" s="53"/>
      <c r="G24" s="53"/>
      <c r="H24" s="53"/>
      <c r="I24" s="53"/>
      <c r="J24" s="53"/>
      <c r="K24" s="53" t="s">
        <v>439</v>
      </c>
      <c r="L24" s="53"/>
      <c r="M24" s="53"/>
      <c r="N24" s="53"/>
      <c r="O24" s="53"/>
      <c r="P24" s="53"/>
      <c r="Q24" s="53"/>
      <c r="R24" s="53"/>
      <c r="S24" s="53"/>
      <c r="T24" s="53"/>
      <c r="U24" s="53"/>
      <c r="V24" s="53"/>
      <c r="W24" s="53"/>
      <c r="X24" s="53"/>
      <c r="Y24" s="53"/>
      <c r="Z24" s="53"/>
      <c r="AA24" s="53"/>
      <c r="AB24" s="53"/>
      <c r="AC24" s="53"/>
      <c r="AD24" s="53"/>
      <c r="AE24" s="53"/>
      <c r="AF24" s="53"/>
      <c r="AG24" s="53"/>
    </row>
    <row r="25" spans="2:33" x14ac:dyDescent="0.25">
      <c r="B25" s="46">
        <v>13</v>
      </c>
      <c r="C25" s="365" t="s">
        <v>808</v>
      </c>
      <c r="D25" s="53"/>
      <c r="E25" s="53"/>
      <c r="F25" s="53"/>
      <c r="G25" s="53"/>
      <c r="H25" s="53"/>
      <c r="I25" s="53"/>
      <c r="J25" s="53"/>
      <c r="K25" s="53" t="s">
        <v>439</v>
      </c>
      <c r="L25" s="53"/>
      <c r="M25" s="53"/>
      <c r="N25" s="53"/>
      <c r="O25" s="53"/>
      <c r="P25" s="53"/>
      <c r="Q25" s="53"/>
      <c r="R25" s="53"/>
      <c r="S25" s="53"/>
      <c r="T25" s="53"/>
      <c r="U25" s="53"/>
      <c r="V25" s="53"/>
      <c r="W25" s="53"/>
      <c r="X25" s="53"/>
      <c r="Y25" s="53"/>
      <c r="Z25" s="53"/>
      <c r="AA25" s="53"/>
      <c r="AB25" s="53"/>
      <c r="AC25" s="53"/>
      <c r="AD25" s="53"/>
      <c r="AE25" s="53"/>
      <c r="AF25" s="53"/>
      <c r="AG25" s="53"/>
    </row>
    <row r="26" spans="2:33" x14ac:dyDescent="0.25">
      <c r="B26" s="46">
        <v>14</v>
      </c>
      <c r="C26" s="365" t="s">
        <v>809</v>
      </c>
      <c r="D26" s="53"/>
      <c r="E26" s="53"/>
      <c r="F26" s="53"/>
      <c r="G26" s="53"/>
      <c r="H26" s="53"/>
      <c r="I26" s="53"/>
      <c r="J26" s="53"/>
      <c r="K26" s="53"/>
      <c r="L26" s="53" t="s">
        <v>439</v>
      </c>
      <c r="M26" s="53"/>
      <c r="N26" s="53"/>
      <c r="O26" s="53"/>
      <c r="P26" s="53"/>
      <c r="Q26" s="53"/>
      <c r="R26" s="53"/>
      <c r="S26" s="53"/>
      <c r="T26" s="53"/>
      <c r="U26" s="53"/>
      <c r="V26" s="53"/>
      <c r="W26" s="53"/>
      <c r="X26" s="53"/>
      <c r="Y26" s="53"/>
      <c r="Z26" s="53"/>
      <c r="AA26" s="53"/>
      <c r="AB26" s="53"/>
      <c r="AC26" s="53"/>
      <c r="AD26" s="53"/>
      <c r="AE26" s="53"/>
      <c r="AF26" s="53"/>
      <c r="AG26" s="53"/>
    </row>
    <row r="27" spans="2:33" x14ac:dyDescent="0.25">
      <c r="B27" s="46">
        <v>15</v>
      </c>
      <c r="C27" s="365" t="s">
        <v>810</v>
      </c>
      <c r="D27" s="53"/>
      <c r="E27" s="53"/>
      <c r="F27" s="53"/>
      <c r="G27" s="53"/>
      <c r="H27" s="53"/>
      <c r="I27" s="53"/>
      <c r="J27" s="53"/>
      <c r="K27" s="53"/>
      <c r="L27" s="53" t="s">
        <v>439</v>
      </c>
      <c r="M27" s="53"/>
      <c r="N27" s="53"/>
      <c r="O27" s="53"/>
      <c r="P27" s="53"/>
      <c r="Q27" s="53"/>
      <c r="R27" s="53"/>
      <c r="S27" s="53"/>
      <c r="T27" s="53"/>
      <c r="U27" s="53"/>
      <c r="V27" s="53"/>
      <c r="W27" s="53"/>
      <c r="X27" s="53"/>
      <c r="Y27" s="53"/>
      <c r="Z27" s="53"/>
      <c r="AA27" s="53"/>
      <c r="AB27" s="53"/>
      <c r="AC27" s="53"/>
      <c r="AD27" s="53"/>
      <c r="AE27" s="53"/>
      <c r="AF27" s="53"/>
      <c r="AG27" s="53"/>
    </row>
    <row r="31" spans="2:33" x14ac:dyDescent="0.25">
      <c r="C31" s="367" t="s">
        <v>813</v>
      </c>
      <c r="D31" s="53"/>
      <c r="E31" s="53" t="s">
        <v>439</v>
      </c>
      <c r="F31" s="53"/>
      <c r="G31" s="53"/>
      <c r="H31" s="53" t="s">
        <v>439</v>
      </c>
      <c r="I31" s="53"/>
      <c r="J31" s="53"/>
      <c r="K31" s="53" t="s">
        <v>439</v>
      </c>
      <c r="L31" s="53" t="s">
        <v>439</v>
      </c>
      <c r="M31" s="53"/>
      <c r="N31" s="53"/>
      <c r="O31" s="53" t="s">
        <v>439</v>
      </c>
      <c r="P31" s="53" t="s">
        <v>439</v>
      </c>
      <c r="Q31" s="53" t="s">
        <v>439</v>
      </c>
      <c r="R31" s="53"/>
      <c r="S31" s="53"/>
      <c r="T31" s="53"/>
      <c r="U31" s="53"/>
      <c r="V31" s="53" t="s">
        <v>439</v>
      </c>
      <c r="W31" s="53"/>
      <c r="X31" s="53"/>
      <c r="Y31" s="53"/>
      <c r="Z31" s="53"/>
      <c r="AA31" s="53"/>
      <c r="AB31" s="53"/>
      <c r="AC31" s="53" t="s">
        <v>439</v>
      </c>
      <c r="AD31" s="53"/>
      <c r="AE31" s="53"/>
      <c r="AF31" s="53"/>
      <c r="AG31" s="53"/>
    </row>
    <row r="34" spans="2:33" x14ac:dyDescent="0.25">
      <c r="B34" s="708" t="s">
        <v>641</v>
      </c>
      <c r="C34" s="708"/>
      <c r="D34" s="708"/>
      <c r="E34" s="708"/>
      <c r="F34" s="708"/>
      <c r="G34" s="708"/>
      <c r="H34" s="708"/>
      <c r="I34" s="708"/>
      <c r="J34" s="708"/>
      <c r="K34" s="708"/>
      <c r="L34" s="708"/>
      <c r="M34" s="708"/>
      <c r="N34" s="708"/>
      <c r="O34" s="708"/>
      <c r="P34" s="708"/>
      <c r="Q34" s="708"/>
      <c r="R34" s="708"/>
      <c r="S34" s="708"/>
      <c r="T34" s="708"/>
      <c r="U34" s="708"/>
      <c r="V34" s="708"/>
      <c r="W34" s="708"/>
      <c r="X34" s="708"/>
      <c r="Y34" s="708"/>
      <c r="Z34" s="708"/>
      <c r="AA34" s="708"/>
      <c r="AB34" s="708"/>
      <c r="AC34" s="708"/>
      <c r="AD34" s="708"/>
      <c r="AE34" s="708"/>
      <c r="AF34" s="708"/>
      <c r="AG34" s="708"/>
    </row>
    <row r="35" spans="2:33" x14ac:dyDescent="0.25">
      <c r="B35" s="708"/>
      <c r="C35" s="708"/>
      <c r="D35" s="708"/>
      <c r="E35" s="708"/>
      <c r="F35" s="708"/>
      <c r="G35" s="708"/>
      <c r="H35" s="708"/>
      <c r="I35" s="708"/>
      <c r="J35" s="708"/>
      <c r="K35" s="708"/>
      <c r="L35" s="708"/>
      <c r="M35" s="708"/>
      <c r="N35" s="708"/>
      <c r="O35" s="708"/>
      <c r="P35" s="708"/>
      <c r="Q35" s="708"/>
      <c r="R35" s="708"/>
      <c r="S35" s="708"/>
      <c r="T35" s="708"/>
      <c r="U35" s="708"/>
      <c r="V35" s="708"/>
      <c r="W35" s="708"/>
      <c r="X35" s="708"/>
      <c r="Y35" s="708"/>
      <c r="Z35" s="708"/>
      <c r="AA35" s="708"/>
      <c r="AB35" s="708"/>
      <c r="AC35" s="708"/>
      <c r="AD35" s="708"/>
      <c r="AE35" s="708"/>
      <c r="AF35" s="708"/>
      <c r="AG35" s="708"/>
    </row>
    <row r="36" spans="2:33" x14ac:dyDescent="0.25">
      <c r="B36" s="708"/>
      <c r="C36" s="708"/>
      <c r="D36" s="708"/>
      <c r="E36" s="708"/>
      <c r="F36" s="708"/>
      <c r="G36" s="708"/>
      <c r="H36" s="708"/>
      <c r="I36" s="708"/>
      <c r="J36" s="708"/>
      <c r="K36" s="708"/>
      <c r="L36" s="708"/>
      <c r="M36" s="708"/>
      <c r="N36" s="708"/>
      <c r="O36" s="708"/>
      <c r="P36" s="708"/>
      <c r="Q36" s="708"/>
      <c r="R36" s="708"/>
      <c r="S36" s="708"/>
      <c r="T36" s="708"/>
      <c r="U36" s="708"/>
      <c r="V36" s="708"/>
      <c r="W36" s="708"/>
      <c r="X36" s="708"/>
      <c r="Y36" s="708"/>
      <c r="Z36" s="708"/>
      <c r="AA36" s="708"/>
      <c r="AB36" s="708"/>
      <c r="AC36" s="708"/>
      <c r="AD36" s="708"/>
      <c r="AE36" s="708"/>
      <c r="AF36" s="708"/>
      <c r="AG36" s="708"/>
    </row>
    <row r="37" spans="2:33" x14ac:dyDescent="0.25">
      <c r="B37" s="708"/>
      <c r="C37" s="708"/>
      <c r="D37" s="708"/>
      <c r="E37" s="708"/>
      <c r="F37" s="708"/>
      <c r="G37" s="708"/>
      <c r="H37" s="708"/>
      <c r="I37" s="708"/>
      <c r="J37" s="708"/>
      <c r="K37" s="708"/>
      <c r="L37" s="708"/>
      <c r="M37" s="708"/>
      <c r="N37" s="708"/>
      <c r="O37" s="708"/>
      <c r="P37" s="708"/>
      <c r="Q37" s="708"/>
      <c r="R37" s="708"/>
      <c r="S37" s="708"/>
      <c r="T37" s="708"/>
      <c r="U37" s="708"/>
      <c r="V37" s="708"/>
      <c r="W37" s="708"/>
      <c r="X37" s="708"/>
      <c r="Y37" s="708"/>
      <c r="Z37" s="708"/>
      <c r="AA37" s="708"/>
      <c r="AB37" s="708"/>
      <c r="AC37" s="708"/>
      <c r="AD37" s="708"/>
      <c r="AE37" s="708"/>
      <c r="AF37" s="708"/>
      <c r="AG37" s="708"/>
    </row>
  </sheetData>
  <mergeCells count="10">
    <mergeCell ref="T5:Y5"/>
    <mergeCell ref="Z5:AG5"/>
    <mergeCell ref="B34:AG37"/>
    <mergeCell ref="B2:AG3"/>
    <mergeCell ref="B9:C9"/>
    <mergeCell ref="B15:C15"/>
    <mergeCell ref="B20:C20"/>
    <mergeCell ref="B23:C23"/>
    <mergeCell ref="D7:AG7"/>
    <mergeCell ref="B8:C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C2:F43"/>
  <sheetViews>
    <sheetView workbookViewId="0">
      <selection activeCell="C2" sqref="C2:F3"/>
    </sheetView>
  </sheetViews>
  <sheetFormatPr baseColWidth="10" defaultColWidth="10.7109375" defaultRowHeight="15" x14ac:dyDescent="0.25"/>
  <cols>
    <col min="3" max="3" width="22.42578125" bestFit="1" customWidth="1"/>
    <col min="4" max="4" width="44.42578125" customWidth="1"/>
    <col min="5" max="5" width="37.7109375" customWidth="1"/>
    <col min="6" max="6" width="37.28515625" customWidth="1"/>
  </cols>
  <sheetData>
    <row r="2" spans="3:6" x14ac:dyDescent="0.25">
      <c r="C2" s="721"/>
      <c r="D2" s="721"/>
      <c r="E2" s="721"/>
      <c r="F2" s="721"/>
    </row>
    <row r="3" spans="3:6" x14ac:dyDescent="0.25">
      <c r="C3" s="721"/>
      <c r="D3" s="721"/>
      <c r="E3" s="721"/>
      <c r="F3" s="721"/>
    </row>
    <row r="4" spans="3:6" x14ac:dyDescent="0.25">
      <c r="C4" s="373"/>
      <c r="F4" s="374"/>
    </row>
    <row r="5" spans="3:6" x14ac:dyDescent="0.25">
      <c r="C5" s="720" t="s">
        <v>654</v>
      </c>
      <c r="D5" s="720"/>
      <c r="E5" s="720"/>
      <c r="F5" s="720"/>
    </row>
    <row r="6" spans="3:6" x14ac:dyDescent="0.25">
      <c r="C6" s="373"/>
      <c r="F6" s="374"/>
    </row>
    <row r="7" spans="3:6" x14ac:dyDescent="0.25">
      <c r="C7" s="718" t="s">
        <v>655</v>
      </c>
      <c r="D7" s="719"/>
      <c r="E7" s="712"/>
      <c r="F7" s="713"/>
    </row>
    <row r="8" spans="3:6" x14ac:dyDescent="0.25">
      <c r="C8" s="718" t="s">
        <v>656</v>
      </c>
      <c r="D8" s="719"/>
      <c r="E8" s="712"/>
      <c r="F8" s="713"/>
    </row>
    <row r="9" spans="3:6" x14ac:dyDescent="0.25">
      <c r="C9" s="718" t="s">
        <v>386</v>
      </c>
      <c r="D9" s="719"/>
      <c r="E9" s="712"/>
      <c r="F9" s="713"/>
    </row>
    <row r="10" spans="3:6" x14ac:dyDescent="0.25">
      <c r="C10" s="718" t="s">
        <v>657</v>
      </c>
      <c r="D10" s="719"/>
      <c r="E10" s="712"/>
      <c r="F10" s="713"/>
    </row>
    <row r="11" spans="3:6" x14ac:dyDescent="0.25">
      <c r="C11" s="373"/>
      <c r="F11" s="374"/>
    </row>
    <row r="12" spans="3:6" x14ac:dyDescent="0.25">
      <c r="C12" s="366" t="s">
        <v>642</v>
      </c>
      <c r="D12" s="366" t="s">
        <v>643</v>
      </c>
      <c r="E12" s="366" t="s">
        <v>644</v>
      </c>
      <c r="F12" s="366" t="s">
        <v>645</v>
      </c>
    </row>
    <row r="13" spans="3:6" ht="15.75" thickBot="1" x14ac:dyDescent="0.3">
      <c r="C13" s="373"/>
      <c r="F13" s="374"/>
    </row>
    <row r="14" spans="3:6" x14ac:dyDescent="0.25">
      <c r="C14" s="715" t="s">
        <v>646</v>
      </c>
      <c r="D14" s="291"/>
      <c r="E14" s="291"/>
      <c r="F14" s="291"/>
    </row>
    <row r="15" spans="3:6" x14ac:dyDescent="0.25">
      <c r="C15" s="716"/>
      <c r="D15" s="6"/>
      <c r="E15" s="6"/>
      <c r="F15" s="6"/>
    </row>
    <row r="16" spans="3:6" ht="15.75" thickBot="1" x14ac:dyDescent="0.3">
      <c r="C16" s="717"/>
      <c r="D16" s="292"/>
      <c r="E16" s="292"/>
      <c r="F16" s="292"/>
    </row>
    <row r="17" spans="3:6" x14ac:dyDescent="0.25">
      <c r="C17" s="715" t="s">
        <v>647</v>
      </c>
      <c r="D17" s="291"/>
      <c r="E17" s="291"/>
      <c r="F17" s="291"/>
    </row>
    <row r="18" spans="3:6" x14ac:dyDescent="0.25">
      <c r="C18" s="716"/>
      <c r="D18" s="6"/>
      <c r="E18" s="6"/>
      <c r="F18" s="6"/>
    </row>
    <row r="19" spans="3:6" ht="15.75" thickBot="1" x14ac:dyDescent="0.3">
      <c r="C19" s="717"/>
      <c r="D19" s="292"/>
      <c r="E19" s="292"/>
      <c r="F19" s="292"/>
    </row>
    <row r="20" spans="3:6" x14ac:dyDescent="0.25">
      <c r="C20" s="715" t="s">
        <v>648</v>
      </c>
      <c r="D20" s="291"/>
      <c r="E20" s="291"/>
      <c r="F20" s="291"/>
    </row>
    <row r="21" spans="3:6" x14ac:dyDescent="0.25">
      <c r="C21" s="716"/>
      <c r="D21" s="6"/>
      <c r="E21" s="6"/>
      <c r="F21" s="6"/>
    </row>
    <row r="22" spans="3:6" ht="15.75" thickBot="1" x14ac:dyDescent="0.3">
      <c r="C22" s="717"/>
      <c r="D22" s="292"/>
      <c r="E22" s="292"/>
      <c r="F22" s="292"/>
    </row>
    <row r="23" spans="3:6" x14ac:dyDescent="0.25">
      <c r="C23" s="715" t="s">
        <v>649</v>
      </c>
      <c r="D23" s="291"/>
      <c r="E23" s="291"/>
      <c r="F23" s="291"/>
    </row>
    <row r="24" spans="3:6" x14ac:dyDescent="0.25">
      <c r="C24" s="716"/>
      <c r="D24" s="6"/>
      <c r="E24" s="6"/>
      <c r="F24" s="6"/>
    </row>
    <row r="25" spans="3:6" ht="15.75" thickBot="1" x14ac:dyDescent="0.3">
      <c r="C25" s="717"/>
      <c r="D25" s="292"/>
      <c r="E25" s="292"/>
      <c r="F25" s="292"/>
    </row>
    <row r="26" spans="3:6" x14ac:dyDescent="0.25">
      <c r="C26" s="715" t="s">
        <v>650</v>
      </c>
      <c r="D26" s="291"/>
      <c r="E26" s="291"/>
      <c r="F26" s="291"/>
    </row>
    <row r="27" spans="3:6" x14ac:dyDescent="0.25">
      <c r="C27" s="716"/>
      <c r="D27" s="6"/>
      <c r="E27" s="6"/>
      <c r="F27" s="6"/>
    </row>
    <row r="28" spans="3:6" ht="15.75" thickBot="1" x14ac:dyDescent="0.3">
      <c r="C28" s="717"/>
      <c r="D28" s="292"/>
      <c r="E28" s="292"/>
      <c r="F28" s="292"/>
    </row>
    <row r="29" spans="3:6" x14ac:dyDescent="0.25">
      <c r="C29" s="715" t="s">
        <v>651</v>
      </c>
      <c r="D29" s="291"/>
      <c r="E29" s="291"/>
      <c r="F29" s="291"/>
    </row>
    <row r="30" spans="3:6" x14ac:dyDescent="0.25">
      <c r="C30" s="716"/>
      <c r="D30" s="6"/>
      <c r="E30" s="6"/>
      <c r="F30" s="6"/>
    </row>
    <row r="31" spans="3:6" ht="15.75" thickBot="1" x14ac:dyDescent="0.3">
      <c r="C31" s="717"/>
      <c r="D31" s="292"/>
      <c r="E31" s="292"/>
      <c r="F31" s="292"/>
    </row>
    <row r="32" spans="3:6" x14ac:dyDescent="0.25">
      <c r="C32" s="715" t="s">
        <v>652</v>
      </c>
      <c r="D32" s="291"/>
      <c r="E32" s="291"/>
      <c r="F32" s="291"/>
    </row>
    <row r="33" spans="3:6" x14ac:dyDescent="0.25">
      <c r="C33" s="716"/>
      <c r="D33" s="6"/>
      <c r="E33" s="6"/>
      <c r="F33" s="6"/>
    </row>
    <row r="34" spans="3:6" ht="15.75" thickBot="1" x14ac:dyDescent="0.3">
      <c r="C34" s="717"/>
      <c r="D34" s="292"/>
      <c r="E34" s="292"/>
      <c r="F34" s="292"/>
    </row>
    <row r="35" spans="3:6" x14ac:dyDescent="0.25">
      <c r="C35" s="715" t="s">
        <v>653</v>
      </c>
      <c r="D35" s="291"/>
      <c r="E35" s="291"/>
      <c r="F35" s="291"/>
    </row>
    <row r="36" spans="3:6" x14ac:dyDescent="0.25">
      <c r="C36" s="716"/>
      <c r="D36" s="6"/>
      <c r="E36" s="6"/>
      <c r="F36" s="6"/>
    </row>
    <row r="37" spans="3:6" ht="15.75" thickBot="1" x14ac:dyDescent="0.3">
      <c r="C37" s="717"/>
      <c r="D37" s="292"/>
      <c r="E37" s="292"/>
      <c r="F37" s="292"/>
    </row>
    <row r="38" spans="3:6" x14ac:dyDescent="0.25">
      <c r="C38" s="373"/>
      <c r="F38" s="374"/>
    </row>
    <row r="39" spans="3:6" x14ac:dyDescent="0.25">
      <c r="C39" s="714" t="s">
        <v>641</v>
      </c>
      <c r="D39" s="714"/>
      <c r="E39" s="714"/>
      <c r="F39" s="714"/>
    </row>
    <row r="40" spans="3:6" x14ac:dyDescent="0.25">
      <c r="C40" s="714"/>
      <c r="D40" s="714"/>
      <c r="E40" s="714"/>
      <c r="F40" s="714"/>
    </row>
    <row r="41" spans="3:6" x14ac:dyDescent="0.25">
      <c r="C41" s="714"/>
      <c r="D41" s="714"/>
      <c r="E41" s="714"/>
      <c r="F41" s="714"/>
    </row>
    <row r="42" spans="3:6" x14ac:dyDescent="0.25">
      <c r="C42" s="714"/>
      <c r="D42" s="714"/>
      <c r="E42" s="714"/>
      <c r="F42" s="714"/>
    </row>
    <row r="43" spans="3:6" x14ac:dyDescent="0.25">
      <c r="C43" s="371"/>
      <c r="D43" s="370"/>
      <c r="E43" s="370"/>
      <c r="F43" s="372"/>
    </row>
  </sheetData>
  <mergeCells count="19">
    <mergeCell ref="C5:F5"/>
    <mergeCell ref="C2:F3"/>
    <mergeCell ref="C7:D7"/>
    <mergeCell ref="C9:D9"/>
    <mergeCell ref="C8:D8"/>
    <mergeCell ref="E7:F7"/>
    <mergeCell ref="E8:F8"/>
    <mergeCell ref="E9:F9"/>
    <mergeCell ref="E10:F10"/>
    <mergeCell ref="C39:F42"/>
    <mergeCell ref="C32:C34"/>
    <mergeCell ref="C35:C37"/>
    <mergeCell ref="C10:D10"/>
    <mergeCell ref="C14:C16"/>
    <mergeCell ref="C17:C19"/>
    <mergeCell ref="C20:C22"/>
    <mergeCell ref="C23:C25"/>
    <mergeCell ref="C26:C28"/>
    <mergeCell ref="C29:C3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D3:L16"/>
  <sheetViews>
    <sheetView workbookViewId="0">
      <selection activeCell="S5" sqref="S5"/>
    </sheetView>
  </sheetViews>
  <sheetFormatPr baseColWidth="10" defaultColWidth="10.7109375" defaultRowHeight="15" x14ac:dyDescent="0.25"/>
  <sheetData>
    <row r="3" spans="4:12" ht="18.75" x14ac:dyDescent="0.3">
      <c r="J3" s="399" t="s">
        <v>660</v>
      </c>
      <c r="K3" s="59"/>
      <c r="L3" s="59" t="s">
        <v>839</v>
      </c>
    </row>
    <row r="4" spans="4:12" ht="18.75" x14ac:dyDescent="0.3">
      <c r="J4" s="399" t="s">
        <v>659</v>
      </c>
      <c r="K4" s="59"/>
      <c r="L4" s="59" t="s">
        <v>840</v>
      </c>
    </row>
    <row r="5" spans="4:12" x14ac:dyDescent="0.25">
      <c r="D5" s="722" t="s">
        <v>672</v>
      </c>
      <c r="E5" s="722"/>
      <c r="F5" s="722"/>
      <c r="G5" s="722"/>
    </row>
    <row r="6" spans="4:12" x14ac:dyDescent="0.25">
      <c r="D6" s="722"/>
      <c r="E6" s="722"/>
      <c r="F6" s="722"/>
      <c r="G6" s="722"/>
    </row>
    <row r="8" spans="4:12" x14ac:dyDescent="0.25">
      <c r="E8" s="439" t="s">
        <v>792</v>
      </c>
      <c r="F8" s="439"/>
    </row>
    <row r="9" spans="4:12" x14ac:dyDescent="0.25">
      <c r="D9" s="46" t="s">
        <v>658</v>
      </c>
      <c r="E9" s="46" t="s">
        <v>659</v>
      </c>
      <c r="F9" s="46" t="s">
        <v>660</v>
      </c>
      <c r="G9" s="46" t="s">
        <v>661</v>
      </c>
    </row>
    <row r="10" spans="4:12" ht="15.75" x14ac:dyDescent="0.25">
      <c r="D10" s="53" t="s">
        <v>662</v>
      </c>
      <c r="E10" s="53">
        <v>10</v>
      </c>
      <c r="F10" s="53">
        <v>11</v>
      </c>
      <c r="G10" s="287">
        <f>F10/E10</f>
        <v>1.1000000000000001</v>
      </c>
      <c r="J10" s="293" t="s">
        <v>668</v>
      </c>
    </row>
    <row r="11" spans="4:12" x14ac:dyDescent="0.25">
      <c r="D11" s="53" t="s">
        <v>663</v>
      </c>
      <c r="E11" s="53">
        <v>10</v>
      </c>
      <c r="F11" s="53">
        <v>9</v>
      </c>
      <c r="G11" s="288">
        <f t="shared" ref="G11:G15" si="0">F11/E11</f>
        <v>0.9</v>
      </c>
    </row>
    <row r="12" spans="4:12" x14ac:dyDescent="0.25">
      <c r="D12" s="53" t="s">
        <v>664</v>
      </c>
      <c r="E12" s="53">
        <v>10</v>
      </c>
      <c r="F12" s="53">
        <v>10</v>
      </c>
      <c r="G12" s="290">
        <f t="shared" si="0"/>
        <v>1</v>
      </c>
      <c r="I12" s="289"/>
      <c r="J12" s="59" t="s">
        <v>669</v>
      </c>
    </row>
    <row r="13" spans="4:12" x14ac:dyDescent="0.25">
      <c r="D13" s="53" t="s">
        <v>665</v>
      </c>
      <c r="E13" s="53">
        <v>10</v>
      </c>
      <c r="F13" s="53">
        <v>7</v>
      </c>
      <c r="G13" s="288">
        <f t="shared" si="0"/>
        <v>0.7</v>
      </c>
      <c r="J13" s="59"/>
    </row>
    <row r="14" spans="4:12" x14ac:dyDescent="0.25">
      <c r="D14" s="53" t="s">
        <v>666</v>
      </c>
      <c r="E14" s="53">
        <v>10</v>
      </c>
      <c r="F14" s="53">
        <v>14</v>
      </c>
      <c r="G14" s="287">
        <f t="shared" si="0"/>
        <v>1.4</v>
      </c>
      <c r="I14" s="294"/>
      <c r="J14" s="59" t="s">
        <v>670</v>
      </c>
    </row>
    <row r="15" spans="4:12" x14ac:dyDescent="0.25">
      <c r="D15" s="53" t="s">
        <v>667</v>
      </c>
      <c r="E15" s="53">
        <v>10</v>
      </c>
      <c r="F15" s="53">
        <v>16</v>
      </c>
      <c r="G15" s="287">
        <f t="shared" si="0"/>
        <v>1.6</v>
      </c>
      <c r="J15" s="59"/>
    </row>
    <row r="16" spans="4:12" x14ac:dyDescent="0.25">
      <c r="I16" s="295"/>
      <c r="J16" s="59" t="s">
        <v>671</v>
      </c>
    </row>
  </sheetData>
  <mergeCells count="2">
    <mergeCell ref="D5:G6"/>
    <mergeCell ref="E8:F8"/>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C3:Q14"/>
  <sheetViews>
    <sheetView workbookViewId="0">
      <selection activeCell="K23" sqref="K23"/>
    </sheetView>
  </sheetViews>
  <sheetFormatPr baseColWidth="10" defaultColWidth="11.42578125" defaultRowHeight="15" x14ac:dyDescent="0.25"/>
  <cols>
    <col min="1" max="3" width="11.42578125" style="54"/>
    <col min="4" max="4" width="19.7109375" style="54" bestFit="1" customWidth="1"/>
    <col min="5" max="6" width="11.42578125" style="54"/>
    <col min="7" max="8" width="13.5703125" style="54" bestFit="1" customWidth="1"/>
    <col min="9" max="16384" width="11.42578125" style="54"/>
  </cols>
  <sheetData>
    <row r="3" spans="3:17" x14ac:dyDescent="0.25">
      <c r="C3" s="722" t="s">
        <v>683</v>
      </c>
      <c r="D3" s="722"/>
      <c r="E3" s="722"/>
      <c r="F3" s="722"/>
      <c r="G3" s="722"/>
      <c r="H3" s="722"/>
      <c r="I3" s="722"/>
      <c r="J3" s="722"/>
      <c r="K3" s="722"/>
      <c r="L3" s="722"/>
      <c r="M3" s="722"/>
      <c r="N3" s="722"/>
      <c r="O3" s="722"/>
      <c r="P3" s="722"/>
      <c r="Q3" s="722"/>
    </row>
    <row r="4" spans="3:17" x14ac:dyDescent="0.25">
      <c r="C4" s="722"/>
      <c r="D4" s="722"/>
      <c r="E4" s="722"/>
      <c r="F4" s="722"/>
      <c r="G4" s="722"/>
      <c r="H4" s="722"/>
      <c r="I4" s="722"/>
      <c r="J4" s="722"/>
      <c r="K4" s="722"/>
      <c r="L4" s="722"/>
      <c r="M4" s="722"/>
      <c r="N4" s="722"/>
      <c r="O4" s="722"/>
      <c r="P4" s="722"/>
      <c r="Q4" s="722"/>
    </row>
    <row r="5" spans="3:17" x14ac:dyDescent="0.25">
      <c r="C5" s="722"/>
      <c r="D5" s="722"/>
      <c r="E5" s="722"/>
      <c r="F5" s="722"/>
      <c r="G5" s="722"/>
      <c r="H5" s="722"/>
      <c r="I5" s="722"/>
      <c r="J5" s="722"/>
      <c r="K5" s="722"/>
      <c r="L5" s="722"/>
      <c r="M5" s="722"/>
      <c r="N5" s="722"/>
      <c r="O5" s="722"/>
      <c r="P5" s="722"/>
      <c r="Q5" s="722"/>
    </row>
    <row r="7" spans="3:17" ht="30" x14ac:dyDescent="0.25">
      <c r="E7" s="300" t="s">
        <v>677</v>
      </c>
      <c r="F7" s="300" t="s">
        <v>678</v>
      </c>
      <c r="G7" s="301" t="s">
        <v>682</v>
      </c>
      <c r="H7" s="300" t="s">
        <v>679</v>
      </c>
    </row>
    <row r="8" spans="3:17" x14ac:dyDescent="0.25">
      <c r="C8" s="53" t="s">
        <v>673</v>
      </c>
      <c r="E8" s="53">
        <v>2000</v>
      </c>
      <c r="F8" s="53">
        <v>1980</v>
      </c>
      <c r="G8" s="53">
        <f>E8-F8</f>
        <v>20</v>
      </c>
      <c r="H8" s="173">
        <f>F8/E8</f>
        <v>0.99</v>
      </c>
    </row>
    <row r="9" spans="3:17" x14ac:dyDescent="0.25">
      <c r="C9" s="53" t="s">
        <v>674</v>
      </c>
      <c r="E9" s="53">
        <v>1980</v>
      </c>
      <c r="F9" s="53">
        <v>1900</v>
      </c>
      <c r="G9" s="53">
        <f t="shared" ref="G9:G11" si="0">E9-F9</f>
        <v>80</v>
      </c>
      <c r="H9" s="173">
        <f>F9/E9</f>
        <v>0.95959595959595956</v>
      </c>
    </row>
    <row r="10" spans="3:17" x14ac:dyDescent="0.25">
      <c r="C10" s="53" t="s">
        <v>675</v>
      </c>
      <c r="E10" s="53">
        <v>1900</v>
      </c>
      <c r="F10" s="53">
        <v>1890</v>
      </c>
      <c r="G10" s="53">
        <f t="shared" si="0"/>
        <v>10</v>
      </c>
      <c r="H10" s="173">
        <f>F10/E10</f>
        <v>0.99473684210526314</v>
      </c>
    </row>
    <row r="11" spans="3:17" x14ac:dyDescent="0.25">
      <c r="C11" s="53" t="s">
        <v>676</v>
      </c>
      <c r="E11" s="53">
        <v>1890</v>
      </c>
      <c r="F11" s="53">
        <v>1800</v>
      </c>
      <c r="G11" s="53">
        <f t="shared" si="0"/>
        <v>90</v>
      </c>
      <c r="H11" s="173">
        <f>F11/E11</f>
        <v>0.95238095238095233</v>
      </c>
    </row>
    <row r="13" spans="3:17" x14ac:dyDescent="0.25">
      <c r="E13" s="286" t="str">
        <f>C8</f>
        <v>PROCESO 1</v>
      </c>
      <c r="F13" s="286" t="str">
        <f>C9</f>
        <v>PROCESO 2</v>
      </c>
      <c r="G13" s="297" t="str">
        <f>C10</f>
        <v xml:space="preserve">PROCESO 3 </v>
      </c>
      <c r="H13" s="286" t="str">
        <f>C11</f>
        <v>PROCESO 4</v>
      </c>
      <c r="I13" s="57" t="s">
        <v>680</v>
      </c>
    </row>
    <row r="14" spans="3:17" ht="30" x14ac:dyDescent="0.25">
      <c r="D14" s="296" t="s">
        <v>684</v>
      </c>
      <c r="E14" s="298">
        <f>H8</f>
        <v>0.99</v>
      </c>
      <c r="F14" s="298">
        <f>H9</f>
        <v>0.95959595959595956</v>
      </c>
      <c r="G14" s="298">
        <f>H10</f>
        <v>0.99473684210526314</v>
      </c>
      <c r="H14" s="298">
        <f>H11</f>
        <v>0.95238095238095233</v>
      </c>
      <c r="I14" s="299">
        <f>E14*F14*G14*H14</f>
        <v>0.89999999999999991</v>
      </c>
      <c r="J14" s="302" t="s">
        <v>681</v>
      </c>
      <c r="K14"/>
      <c r="L14"/>
      <c r="M14"/>
      <c r="N14"/>
      <c r="O14"/>
      <c r="P14"/>
      <c r="Q14"/>
    </row>
  </sheetData>
  <mergeCells count="1">
    <mergeCell ref="C3:Q5"/>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P28"/>
  <sheetViews>
    <sheetView workbookViewId="0">
      <selection activeCell="Q18" sqref="Q18"/>
    </sheetView>
  </sheetViews>
  <sheetFormatPr baseColWidth="10" defaultColWidth="10.7109375" defaultRowHeight="15" x14ac:dyDescent="0.25"/>
  <cols>
    <col min="2" max="2" width="18.85546875" bestFit="1" customWidth="1"/>
    <col min="3" max="3" width="13.7109375" bestFit="1" customWidth="1"/>
    <col min="4" max="4" width="14.140625" customWidth="1"/>
    <col min="6" max="6" width="13.28515625" bestFit="1" customWidth="1"/>
    <col min="7" max="7" width="3" bestFit="1" customWidth="1"/>
    <col min="8" max="8" width="2.140625" bestFit="1" customWidth="1"/>
    <col min="9" max="9" width="3" bestFit="1" customWidth="1"/>
    <col min="10" max="10" width="1.85546875" bestFit="1" customWidth="1"/>
    <col min="11" max="11" width="3" bestFit="1" customWidth="1"/>
    <col min="12" max="12" width="2" bestFit="1" customWidth="1"/>
    <col min="13" max="13" width="6" bestFit="1" customWidth="1"/>
    <col min="19" max="21" width="4" bestFit="1" customWidth="1"/>
    <col min="22" max="22" width="6" bestFit="1" customWidth="1"/>
    <col min="23" max="23" width="5" bestFit="1" customWidth="1"/>
    <col min="24" max="24" width="4" bestFit="1" customWidth="1"/>
    <col min="25" max="25" width="6" bestFit="1" customWidth="1"/>
    <col min="26" max="27" width="4" bestFit="1" customWidth="1"/>
    <col min="28" max="28" width="5" bestFit="1" customWidth="1"/>
    <col min="29" max="32" width="4" bestFit="1" customWidth="1"/>
    <col min="33" max="33" width="5" bestFit="1" customWidth="1"/>
    <col min="34" max="37" width="4" bestFit="1" customWidth="1"/>
    <col min="38" max="38" width="5" bestFit="1" customWidth="1"/>
    <col min="39" max="42" width="4" bestFit="1" customWidth="1"/>
    <col min="43" max="43" width="5" bestFit="1" customWidth="1"/>
    <col min="44" max="47" width="4" bestFit="1" customWidth="1"/>
    <col min="48" max="48" width="5" bestFit="1" customWidth="1"/>
    <col min="49" max="52" width="4" bestFit="1" customWidth="1"/>
    <col min="53" max="53" width="5" bestFit="1" customWidth="1"/>
    <col min="54" max="57" width="4" bestFit="1" customWidth="1"/>
    <col min="58" max="58" width="5" bestFit="1" customWidth="1"/>
    <col min="59" max="62" width="4" bestFit="1" customWidth="1"/>
    <col min="63" max="63" width="5" bestFit="1" customWidth="1"/>
    <col min="64" max="67" width="4" bestFit="1" customWidth="1"/>
    <col min="68" max="68" width="5" bestFit="1" customWidth="1"/>
    <col min="69" max="72" width="4" bestFit="1" customWidth="1"/>
    <col min="73" max="73" width="5" bestFit="1" customWidth="1"/>
    <col min="74" max="77" width="4" bestFit="1" customWidth="1"/>
    <col min="78" max="78" width="5" bestFit="1" customWidth="1"/>
    <col min="79" max="82" width="4" bestFit="1" customWidth="1"/>
    <col min="83" max="83" width="5" bestFit="1" customWidth="1"/>
    <col min="84" max="87" width="4" bestFit="1" customWidth="1"/>
    <col min="88" max="88" width="5" bestFit="1" customWidth="1"/>
    <col min="89" max="92" width="4" bestFit="1" customWidth="1"/>
    <col min="93" max="93" width="5" bestFit="1" customWidth="1"/>
    <col min="94" max="97" width="4" bestFit="1" customWidth="1"/>
    <col min="98" max="98" width="5" bestFit="1" customWidth="1"/>
    <col min="99" max="102" width="4" bestFit="1" customWidth="1"/>
    <col min="103" max="103" width="5" bestFit="1" customWidth="1"/>
    <col min="104" max="107" width="4" bestFit="1" customWidth="1"/>
    <col min="108" max="108" width="5" bestFit="1" customWidth="1"/>
    <col min="109" max="112" width="4" bestFit="1" customWidth="1"/>
    <col min="113" max="113" width="5" bestFit="1" customWidth="1"/>
  </cols>
  <sheetData>
    <row r="2" spans="2:16" x14ac:dyDescent="0.25">
      <c r="B2" s="723" t="s">
        <v>790</v>
      </c>
      <c r="C2" s="724"/>
      <c r="D2" s="724"/>
      <c r="E2" s="724"/>
      <c r="F2" s="724"/>
      <c r="G2" s="724"/>
      <c r="H2" s="724"/>
      <c r="I2" s="724"/>
      <c r="J2" s="724"/>
      <c r="K2" s="724"/>
      <c r="L2" s="724"/>
      <c r="M2" s="724"/>
      <c r="N2" s="725"/>
    </row>
    <row r="3" spans="2:16" x14ac:dyDescent="0.25">
      <c r="B3" s="726"/>
      <c r="C3" s="727"/>
      <c r="D3" s="727"/>
      <c r="E3" s="727"/>
      <c r="F3" s="727"/>
      <c r="G3" s="727"/>
      <c r="H3" s="727"/>
      <c r="I3" s="727"/>
      <c r="J3" s="727"/>
      <c r="K3" s="727"/>
      <c r="L3" s="727"/>
      <c r="M3" s="727"/>
      <c r="N3" s="728"/>
    </row>
    <row r="5" spans="2:16" x14ac:dyDescent="0.25">
      <c r="B5" t="s">
        <v>685</v>
      </c>
      <c r="C5" s="304">
        <v>27000</v>
      </c>
      <c r="D5" t="s">
        <v>686</v>
      </c>
    </row>
    <row r="6" spans="2:16" x14ac:dyDescent="0.25">
      <c r="B6" t="s">
        <v>687</v>
      </c>
      <c r="C6" s="304">
        <v>600</v>
      </c>
      <c r="D6" t="s">
        <v>688</v>
      </c>
    </row>
    <row r="9" spans="2:16" x14ac:dyDescent="0.25">
      <c r="C9" t="s">
        <v>689</v>
      </c>
      <c r="D9" s="303">
        <f>C5/C6</f>
        <v>45</v>
      </c>
      <c r="E9" t="s">
        <v>690</v>
      </c>
    </row>
    <row r="12" spans="2:16" x14ac:dyDescent="0.25">
      <c r="B12" s="59" t="s">
        <v>691</v>
      </c>
      <c r="P12" s="59" t="s">
        <v>846</v>
      </c>
    </row>
    <row r="13" spans="2:16" x14ac:dyDescent="0.25">
      <c r="B13" s="439" t="s">
        <v>791</v>
      </c>
      <c r="C13" s="439"/>
      <c r="D13" s="439"/>
      <c r="F13" s="665" t="s">
        <v>693</v>
      </c>
      <c r="G13" s="665"/>
      <c r="H13" s="665"/>
      <c r="I13" s="665"/>
      <c r="J13" s="665"/>
      <c r="K13" s="665"/>
      <c r="L13" s="665"/>
      <c r="M13" s="665"/>
      <c r="N13" s="665"/>
      <c r="P13" s="401" t="s">
        <v>845</v>
      </c>
    </row>
    <row r="14" spans="2:16" x14ac:dyDescent="0.25">
      <c r="B14" s="6" t="s">
        <v>397</v>
      </c>
      <c r="C14" s="53">
        <v>18</v>
      </c>
      <c r="D14" s="6" t="s">
        <v>692</v>
      </c>
      <c r="F14" s="6" t="s">
        <v>695</v>
      </c>
      <c r="G14" s="6">
        <f>D9</f>
        <v>45</v>
      </c>
      <c r="H14" s="6" t="s">
        <v>439</v>
      </c>
      <c r="I14" s="6">
        <f>C14</f>
        <v>18</v>
      </c>
      <c r="J14" s="6" t="s">
        <v>694</v>
      </c>
      <c r="K14" s="6">
        <v>60</v>
      </c>
      <c r="L14" s="6" t="s">
        <v>699</v>
      </c>
      <c r="M14" s="305">
        <f>(G14*I14)/K14</f>
        <v>13.5</v>
      </c>
      <c r="N14" s="305" t="s">
        <v>700</v>
      </c>
    </row>
    <row r="15" spans="2:16" x14ac:dyDescent="0.25">
      <c r="B15" s="6" t="s">
        <v>398</v>
      </c>
      <c r="C15" s="53">
        <v>25</v>
      </c>
      <c r="D15" s="6" t="s">
        <v>692</v>
      </c>
      <c r="F15" s="6" t="s">
        <v>696</v>
      </c>
      <c r="G15" s="6">
        <f>D9</f>
        <v>45</v>
      </c>
      <c r="H15" s="6" t="s">
        <v>439</v>
      </c>
      <c r="I15" s="6">
        <f t="shared" ref="I15:I17" si="0">C15</f>
        <v>25</v>
      </c>
      <c r="J15" s="6" t="s">
        <v>694</v>
      </c>
      <c r="K15" s="6">
        <v>60</v>
      </c>
      <c r="L15" s="6" t="s">
        <v>699</v>
      </c>
      <c r="M15" s="305">
        <f t="shared" ref="M15:M17" si="1">(G15*I15)/K15</f>
        <v>18.75</v>
      </c>
      <c r="N15" s="305" t="s">
        <v>700</v>
      </c>
    </row>
    <row r="16" spans="2:16" x14ac:dyDescent="0.25">
      <c r="B16" s="6" t="s">
        <v>399</v>
      </c>
      <c r="C16" s="53">
        <v>16</v>
      </c>
      <c r="D16" s="6" t="s">
        <v>692</v>
      </c>
      <c r="F16" s="6" t="s">
        <v>697</v>
      </c>
      <c r="G16" s="6">
        <f>D9</f>
        <v>45</v>
      </c>
      <c r="H16" s="6" t="s">
        <v>439</v>
      </c>
      <c r="I16" s="6">
        <f t="shared" si="0"/>
        <v>16</v>
      </c>
      <c r="J16" s="6" t="s">
        <v>694</v>
      </c>
      <c r="K16" s="6">
        <v>60</v>
      </c>
      <c r="L16" s="6" t="s">
        <v>699</v>
      </c>
      <c r="M16" s="305">
        <f t="shared" si="1"/>
        <v>12</v>
      </c>
      <c r="N16" s="305" t="s">
        <v>700</v>
      </c>
    </row>
    <row r="17" spans="2:14" x14ac:dyDescent="0.25">
      <c r="B17" s="6" t="s">
        <v>400</v>
      </c>
      <c r="C17" s="53">
        <v>22</v>
      </c>
      <c r="D17" s="6" t="s">
        <v>692</v>
      </c>
      <c r="F17" s="6" t="s">
        <v>698</v>
      </c>
      <c r="G17" s="6">
        <f>D9</f>
        <v>45</v>
      </c>
      <c r="H17" s="6" t="s">
        <v>439</v>
      </c>
      <c r="I17" s="6">
        <f t="shared" si="0"/>
        <v>22</v>
      </c>
      <c r="J17" s="6" t="s">
        <v>694</v>
      </c>
      <c r="K17" s="6">
        <v>60</v>
      </c>
      <c r="L17" s="6" t="s">
        <v>699</v>
      </c>
      <c r="M17" s="305">
        <f t="shared" si="1"/>
        <v>16.5</v>
      </c>
      <c r="N17" s="305" t="s">
        <v>700</v>
      </c>
    </row>
    <row r="20" spans="2:14" x14ac:dyDescent="0.25">
      <c r="B20" s="59" t="s">
        <v>701</v>
      </c>
    </row>
    <row r="21" spans="2:14" x14ac:dyDescent="0.25">
      <c r="B21" t="s">
        <v>702</v>
      </c>
    </row>
    <row r="23" spans="2:14" x14ac:dyDescent="0.25">
      <c r="B23" t="s">
        <v>703</v>
      </c>
    </row>
    <row r="28" spans="2:14" ht="18" x14ac:dyDescent="0.25">
      <c r="B28" s="400" t="s">
        <v>844</v>
      </c>
    </row>
  </sheetData>
  <mergeCells count="3">
    <mergeCell ref="B2:N3"/>
    <mergeCell ref="B13:D13"/>
    <mergeCell ref="F13:N1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C2:M54"/>
  <sheetViews>
    <sheetView workbookViewId="0">
      <selection activeCell="I41" sqref="I41:J41"/>
    </sheetView>
  </sheetViews>
  <sheetFormatPr baseColWidth="10" defaultColWidth="11.42578125" defaultRowHeight="15" x14ac:dyDescent="0.25"/>
  <cols>
    <col min="1" max="2" width="11.42578125" style="58"/>
    <col min="3" max="3" width="15.42578125" style="58" customWidth="1"/>
    <col min="4" max="16384" width="11.42578125" style="58"/>
  </cols>
  <sheetData>
    <row r="2" spans="3:13" x14ac:dyDescent="0.25">
      <c r="C2" s="729" t="s">
        <v>728</v>
      </c>
      <c r="D2" s="729"/>
      <c r="E2" s="729"/>
      <c r="F2" s="729"/>
      <c r="G2" s="729"/>
      <c r="H2" s="729"/>
      <c r="I2" s="729"/>
      <c r="J2" s="729"/>
      <c r="K2" s="729"/>
      <c r="L2" s="729"/>
      <c r="M2" s="729"/>
    </row>
    <row r="3" spans="3:13" x14ac:dyDescent="0.25">
      <c r="C3" s="729"/>
      <c r="D3" s="729"/>
      <c r="E3" s="729"/>
      <c r="F3" s="729"/>
      <c r="G3" s="729"/>
      <c r="H3" s="729"/>
      <c r="I3" s="729"/>
      <c r="J3" s="729"/>
      <c r="K3" s="729"/>
      <c r="L3" s="729"/>
      <c r="M3" s="729"/>
    </row>
    <row r="5" spans="3:13" x14ac:dyDescent="0.25">
      <c r="C5" s="354" t="s">
        <v>720</v>
      </c>
      <c r="D5" s="464"/>
      <c r="E5" s="464"/>
      <c r="F5" s="464"/>
      <c r="G5" s="464"/>
    </row>
    <row r="7" spans="3:13" x14ac:dyDescent="0.25">
      <c r="C7" s="354" t="s">
        <v>718</v>
      </c>
      <c r="D7" s="464"/>
      <c r="E7" s="464"/>
      <c r="F7" s="464"/>
      <c r="G7" s="464"/>
      <c r="I7" s="354" t="s">
        <v>719</v>
      </c>
      <c r="J7" s="464"/>
      <c r="K7" s="464"/>
      <c r="L7" s="464"/>
      <c r="M7" s="464"/>
    </row>
    <row r="8" spans="3:13" x14ac:dyDescent="0.25">
      <c r="D8" s="464"/>
      <c r="E8" s="464"/>
      <c r="F8" s="464"/>
      <c r="G8" s="464"/>
      <c r="J8" s="464"/>
      <c r="K8" s="464"/>
      <c r="L8" s="464"/>
      <c r="M8" s="464"/>
    </row>
    <row r="10" spans="3:13" x14ac:dyDescent="0.25">
      <c r="D10" s="730" t="s">
        <v>714</v>
      </c>
      <c r="E10" s="730"/>
      <c r="F10" s="730"/>
      <c r="G10" s="355" t="s">
        <v>715</v>
      </c>
    </row>
    <row r="11" spans="3:13" x14ac:dyDescent="0.25">
      <c r="C11" s="354" t="s">
        <v>713</v>
      </c>
      <c r="D11" s="464"/>
      <c r="E11" s="464"/>
      <c r="F11" s="464"/>
      <c r="G11" s="46"/>
    </row>
    <row r="13" spans="3:13" x14ac:dyDescent="0.25">
      <c r="C13" s="354" t="s">
        <v>711</v>
      </c>
      <c r="D13" s="464"/>
      <c r="E13" s="464"/>
      <c r="F13" s="464"/>
      <c r="G13" s="464"/>
      <c r="I13" s="730" t="s">
        <v>716</v>
      </c>
      <c r="J13" s="730"/>
      <c r="K13" s="464"/>
      <c r="L13" s="464"/>
      <c r="M13" s="464"/>
    </row>
    <row r="14" spans="3:13" x14ac:dyDescent="0.25">
      <c r="C14" s="354" t="s">
        <v>712</v>
      </c>
      <c r="D14" s="464"/>
      <c r="E14" s="464"/>
      <c r="F14" s="464"/>
      <c r="G14" s="464"/>
      <c r="I14" s="730" t="s">
        <v>717</v>
      </c>
      <c r="J14" s="730"/>
      <c r="K14" s="464"/>
      <c r="L14" s="464"/>
      <c r="M14" s="464"/>
    </row>
    <row r="16" spans="3:13" x14ac:dyDescent="0.25">
      <c r="C16" s="354" t="s">
        <v>709</v>
      </c>
      <c r="D16" s="464"/>
      <c r="E16" s="464"/>
      <c r="F16" s="464"/>
      <c r="G16" s="46"/>
      <c r="I16" s="731" t="s">
        <v>710</v>
      </c>
      <c r="J16" s="731"/>
      <c r="K16" s="731"/>
      <c r="L16" s="731"/>
      <c r="M16" s="731"/>
    </row>
    <row r="17" spans="3:13" x14ac:dyDescent="0.25">
      <c r="D17" s="464"/>
      <c r="E17" s="464"/>
      <c r="F17" s="464"/>
      <c r="G17" s="46"/>
    </row>
    <row r="18" spans="3:13" x14ac:dyDescent="0.25">
      <c r="D18" s="464"/>
      <c r="E18" s="464"/>
      <c r="F18" s="464"/>
      <c r="G18" s="46"/>
      <c r="I18" s="356">
        <v>0.2</v>
      </c>
      <c r="J18" s="356">
        <v>0.4</v>
      </c>
      <c r="K18" s="356">
        <v>0.6</v>
      </c>
      <c r="L18" s="356">
        <v>0.8</v>
      </c>
      <c r="M18" s="356">
        <v>1</v>
      </c>
    </row>
    <row r="19" spans="3:13" x14ac:dyDescent="0.25">
      <c r="D19" s="464"/>
      <c r="E19" s="464"/>
      <c r="F19" s="464"/>
      <c r="G19" s="46"/>
      <c r="I19" s="46"/>
      <c r="J19" s="46"/>
      <c r="K19" s="46"/>
      <c r="L19" s="46"/>
      <c r="M19" s="46"/>
    </row>
    <row r="20" spans="3:13" x14ac:dyDescent="0.25">
      <c r="D20" s="464"/>
      <c r="E20" s="464"/>
      <c r="F20" s="464"/>
      <c r="G20" s="46"/>
    </row>
    <row r="22" spans="3:13" x14ac:dyDescent="0.25">
      <c r="C22" s="355" t="s">
        <v>704</v>
      </c>
      <c r="D22" s="355" t="s">
        <v>356</v>
      </c>
      <c r="E22" s="355" t="s">
        <v>705</v>
      </c>
      <c r="F22" s="355" t="s">
        <v>706</v>
      </c>
      <c r="G22" s="355" t="s">
        <v>707</v>
      </c>
      <c r="I22" s="730" t="s">
        <v>708</v>
      </c>
      <c r="J22" s="730"/>
      <c r="K22" s="730"/>
      <c r="L22" s="730" t="s">
        <v>371</v>
      </c>
      <c r="M22" s="730"/>
    </row>
    <row r="23" spans="3:13" x14ac:dyDescent="0.25">
      <c r="C23" s="46"/>
      <c r="D23" s="46"/>
      <c r="E23" s="46"/>
      <c r="F23" s="46"/>
      <c r="G23" s="46"/>
      <c r="I23" s="46"/>
      <c r="J23" s="46"/>
      <c r="K23" s="46"/>
      <c r="L23" s="46"/>
      <c r="M23" s="46"/>
    </row>
    <row r="24" spans="3:13" x14ac:dyDescent="0.25">
      <c r="C24" s="46"/>
      <c r="D24" s="46"/>
      <c r="E24" s="46"/>
      <c r="F24" s="46"/>
      <c r="G24" s="46"/>
      <c r="I24" s="46"/>
      <c r="J24" s="46"/>
      <c r="K24" s="46"/>
      <c r="L24" s="46"/>
      <c r="M24" s="46"/>
    </row>
    <row r="25" spans="3:13" x14ac:dyDescent="0.25">
      <c r="C25" s="46"/>
      <c r="D25" s="46"/>
      <c r="E25" s="46"/>
      <c r="F25" s="46"/>
      <c r="G25" s="46"/>
      <c r="I25" s="46"/>
      <c r="J25" s="46"/>
      <c r="K25" s="46"/>
      <c r="L25" s="46"/>
      <c r="M25" s="46"/>
    </row>
    <row r="26" spans="3:13" x14ac:dyDescent="0.25">
      <c r="C26" s="46"/>
      <c r="D26" s="46"/>
      <c r="E26" s="46"/>
      <c r="F26" s="46"/>
      <c r="G26" s="46"/>
      <c r="I26" s="46"/>
      <c r="J26" s="46"/>
      <c r="K26" s="46"/>
      <c r="L26" s="46"/>
      <c r="M26" s="46"/>
    </row>
    <row r="27" spans="3:13" x14ac:dyDescent="0.25">
      <c r="C27" s="46"/>
      <c r="D27" s="46"/>
      <c r="E27" s="46"/>
      <c r="F27" s="46"/>
      <c r="G27" s="46"/>
      <c r="I27" s="46"/>
      <c r="J27" s="46"/>
      <c r="K27" s="46"/>
      <c r="L27" s="46"/>
      <c r="M27" s="46"/>
    </row>
    <row r="29" spans="3:13" x14ac:dyDescent="0.25">
      <c r="C29" s="730" t="s">
        <v>721</v>
      </c>
      <c r="D29" s="730"/>
      <c r="E29" s="730"/>
      <c r="F29" s="730"/>
      <c r="G29" s="730"/>
      <c r="I29" s="730" t="s">
        <v>726</v>
      </c>
      <c r="J29" s="730"/>
      <c r="K29" s="730"/>
      <c r="L29" s="730"/>
      <c r="M29" s="730"/>
    </row>
    <row r="30" spans="3:13" x14ac:dyDescent="0.25">
      <c r="C30" s="730" t="s">
        <v>722</v>
      </c>
      <c r="D30" s="730"/>
      <c r="E30" s="355" t="s">
        <v>707</v>
      </c>
      <c r="F30" s="730" t="s">
        <v>723</v>
      </c>
      <c r="G30" s="730"/>
      <c r="I30" s="730" t="s">
        <v>722</v>
      </c>
      <c r="J30" s="730"/>
      <c r="K30" s="355" t="s">
        <v>607</v>
      </c>
      <c r="L30" s="730" t="s">
        <v>580</v>
      </c>
      <c r="M30" s="730"/>
    </row>
    <row r="31" spans="3:13" x14ac:dyDescent="0.25">
      <c r="C31" s="310"/>
      <c r="D31" s="311"/>
      <c r="E31" s="46"/>
      <c r="F31" s="310"/>
      <c r="G31" s="311"/>
      <c r="I31" s="464"/>
      <c r="J31" s="464"/>
      <c r="K31" s="46"/>
      <c r="L31" s="464"/>
      <c r="M31" s="464"/>
    </row>
    <row r="32" spans="3:13" x14ac:dyDescent="0.25">
      <c r="C32" s="464"/>
      <c r="D32" s="464"/>
      <c r="E32" s="46"/>
      <c r="F32" s="464"/>
      <c r="G32" s="464"/>
      <c r="I32" s="464"/>
      <c r="J32" s="464"/>
      <c r="K32" s="46"/>
      <c r="L32" s="464"/>
      <c r="M32" s="464"/>
    </row>
    <row r="33" spans="3:13" x14ac:dyDescent="0.25">
      <c r="C33" s="464"/>
      <c r="D33" s="464"/>
      <c r="E33" s="46"/>
      <c r="F33" s="464"/>
      <c r="G33" s="464"/>
      <c r="I33" s="464"/>
      <c r="J33" s="464"/>
      <c r="K33" s="46"/>
      <c r="L33" s="464"/>
      <c r="M33" s="464"/>
    </row>
    <row r="34" spans="3:13" x14ac:dyDescent="0.25">
      <c r="C34" s="464"/>
      <c r="D34" s="464"/>
      <c r="E34" s="46"/>
      <c r="F34" s="464"/>
      <c r="G34" s="464"/>
      <c r="I34" s="464"/>
      <c r="J34" s="464"/>
      <c r="K34" s="46"/>
      <c r="L34" s="464"/>
      <c r="M34" s="464"/>
    </row>
    <row r="35" spans="3:13" x14ac:dyDescent="0.25">
      <c r="C35" s="464"/>
      <c r="D35" s="464"/>
      <c r="E35" s="46"/>
      <c r="F35" s="464"/>
      <c r="G35" s="464"/>
      <c r="I35" s="464"/>
      <c r="J35" s="464"/>
      <c r="K35" s="46"/>
      <c r="L35" s="464"/>
      <c r="M35" s="464"/>
    </row>
    <row r="36" spans="3:13" x14ac:dyDescent="0.25">
      <c r="C36" s="464"/>
      <c r="D36" s="464"/>
      <c r="E36" s="46"/>
      <c r="F36" s="464"/>
      <c r="G36" s="464"/>
      <c r="I36" s="464"/>
      <c r="J36" s="464"/>
      <c r="K36" s="46"/>
      <c r="L36" s="464"/>
      <c r="M36" s="464"/>
    </row>
    <row r="37" spans="3:13" x14ac:dyDescent="0.25">
      <c r="I37" s="464"/>
      <c r="J37" s="464"/>
      <c r="K37" s="46"/>
      <c r="L37" s="464"/>
      <c r="M37" s="464"/>
    </row>
    <row r="38" spans="3:13" x14ac:dyDescent="0.25">
      <c r="C38" s="730" t="s">
        <v>724</v>
      </c>
      <c r="D38" s="730"/>
      <c r="E38" s="730"/>
      <c r="F38" s="730"/>
      <c r="G38" s="730"/>
      <c r="I38" s="464"/>
      <c r="J38" s="464"/>
      <c r="K38" s="46"/>
      <c r="L38" s="464"/>
      <c r="M38" s="464"/>
    </row>
    <row r="39" spans="3:13" x14ac:dyDescent="0.25">
      <c r="C39" s="730" t="s">
        <v>725</v>
      </c>
      <c r="D39" s="730"/>
      <c r="E39" s="355" t="s">
        <v>607</v>
      </c>
      <c r="F39" s="730" t="s">
        <v>661</v>
      </c>
      <c r="G39" s="730"/>
      <c r="I39" s="464"/>
      <c r="J39" s="464"/>
      <c r="K39" s="46"/>
      <c r="L39" s="464"/>
      <c r="M39" s="464"/>
    </row>
    <row r="40" spans="3:13" x14ac:dyDescent="0.25">
      <c r="C40" s="464"/>
      <c r="D40" s="464"/>
      <c r="E40" s="46"/>
      <c r="F40" s="464"/>
      <c r="G40" s="464"/>
      <c r="I40" s="464"/>
      <c r="J40" s="464"/>
      <c r="K40" s="46"/>
      <c r="L40" s="464"/>
      <c r="M40" s="464"/>
    </row>
    <row r="41" spans="3:13" x14ac:dyDescent="0.25">
      <c r="C41" s="464"/>
      <c r="D41" s="464"/>
      <c r="E41" s="46"/>
      <c r="F41" s="464"/>
      <c r="G41" s="464"/>
      <c r="I41" s="464"/>
      <c r="J41" s="464"/>
      <c r="K41" s="46"/>
      <c r="L41" s="464"/>
      <c r="M41" s="464"/>
    </row>
    <row r="42" spans="3:13" x14ac:dyDescent="0.25">
      <c r="C42" s="464"/>
      <c r="D42" s="464"/>
      <c r="E42" s="46"/>
      <c r="F42" s="464"/>
      <c r="G42" s="464"/>
      <c r="I42" s="464"/>
      <c r="J42" s="464"/>
      <c r="K42" s="46"/>
      <c r="L42" s="464"/>
      <c r="M42" s="464"/>
    </row>
    <row r="43" spans="3:13" x14ac:dyDescent="0.25">
      <c r="C43" s="464"/>
      <c r="D43" s="464"/>
      <c r="E43" s="46"/>
      <c r="F43" s="464"/>
      <c r="G43" s="464"/>
      <c r="I43" s="464"/>
      <c r="J43" s="464"/>
      <c r="K43" s="46"/>
      <c r="L43" s="464"/>
      <c r="M43" s="464"/>
    </row>
    <row r="44" spans="3:13" x14ac:dyDescent="0.25">
      <c r="C44" s="464"/>
      <c r="D44" s="464"/>
      <c r="E44" s="46"/>
      <c r="F44" s="464"/>
      <c r="G44" s="464"/>
      <c r="I44" s="464"/>
      <c r="J44" s="464"/>
      <c r="K44" s="46"/>
      <c r="L44" s="464"/>
      <c r="M44" s="464"/>
    </row>
    <row r="45" spans="3:13" x14ac:dyDescent="0.25">
      <c r="C45" s="475"/>
      <c r="D45" s="475"/>
      <c r="F45" s="475"/>
      <c r="G45" s="475"/>
    </row>
    <row r="46" spans="3:13" x14ac:dyDescent="0.25">
      <c r="C46" s="730" t="s">
        <v>727</v>
      </c>
      <c r="D46" s="730"/>
      <c r="E46" s="730"/>
      <c r="F46" s="730"/>
      <c r="G46" s="730"/>
      <c r="H46" s="730"/>
      <c r="I46" s="730"/>
      <c r="J46" s="730"/>
      <c r="K46" s="730"/>
      <c r="L46" s="730"/>
      <c r="M46" s="730"/>
    </row>
    <row r="47" spans="3:13" x14ac:dyDescent="0.25">
      <c r="C47" s="464"/>
      <c r="D47" s="464"/>
      <c r="E47" s="464"/>
      <c r="F47" s="464"/>
      <c r="G47" s="464"/>
      <c r="H47" s="464"/>
      <c r="I47" s="464"/>
      <c r="J47" s="464"/>
      <c r="K47" s="464"/>
      <c r="L47" s="464"/>
      <c r="M47" s="464"/>
    </row>
    <row r="48" spans="3:13" x14ac:dyDescent="0.25">
      <c r="C48" s="464"/>
      <c r="D48" s="464"/>
      <c r="E48" s="464"/>
      <c r="F48" s="464"/>
      <c r="G48" s="464"/>
      <c r="H48" s="464"/>
      <c r="I48" s="464"/>
      <c r="J48" s="464"/>
      <c r="K48" s="464"/>
      <c r="L48" s="464"/>
      <c r="M48" s="464"/>
    </row>
    <row r="49" spans="3:13" x14ac:dyDescent="0.25">
      <c r="C49" s="464"/>
      <c r="D49" s="464"/>
      <c r="E49" s="464"/>
      <c r="F49" s="464"/>
      <c r="G49" s="464"/>
      <c r="H49" s="464"/>
      <c r="I49" s="464"/>
      <c r="J49" s="464"/>
      <c r="K49" s="464"/>
      <c r="L49" s="464"/>
      <c r="M49" s="464"/>
    </row>
    <row r="50" spans="3:13" x14ac:dyDescent="0.25">
      <c r="C50" s="464"/>
      <c r="D50" s="464"/>
      <c r="E50" s="464"/>
      <c r="F50" s="464"/>
      <c r="G50" s="464"/>
      <c r="H50" s="464"/>
      <c r="I50" s="464"/>
      <c r="J50" s="464"/>
      <c r="K50" s="464"/>
      <c r="L50" s="464"/>
      <c r="M50" s="464"/>
    </row>
    <row r="51" spans="3:13" x14ac:dyDescent="0.25">
      <c r="C51" s="464"/>
      <c r="D51" s="464"/>
      <c r="E51" s="464"/>
      <c r="F51" s="464"/>
      <c r="G51" s="464"/>
      <c r="H51" s="464"/>
      <c r="I51" s="464"/>
      <c r="J51" s="464"/>
      <c r="K51" s="464"/>
      <c r="L51" s="464"/>
      <c r="M51" s="464"/>
    </row>
    <row r="52" spans="3:13" x14ac:dyDescent="0.25">
      <c r="C52" s="464"/>
      <c r="D52" s="464"/>
      <c r="E52" s="464"/>
      <c r="F52" s="464"/>
      <c r="G52" s="464"/>
      <c r="H52" s="464"/>
      <c r="I52" s="464"/>
      <c r="J52" s="464"/>
      <c r="K52" s="464"/>
      <c r="L52" s="464"/>
      <c r="M52" s="464"/>
    </row>
    <row r="53" spans="3:13" x14ac:dyDescent="0.25">
      <c r="C53" s="464"/>
      <c r="D53" s="464"/>
      <c r="E53" s="464"/>
      <c r="F53" s="464"/>
      <c r="G53" s="464"/>
      <c r="H53" s="464"/>
      <c r="I53" s="464"/>
      <c r="J53" s="464"/>
      <c r="K53" s="464"/>
      <c r="L53" s="464"/>
      <c r="M53" s="464"/>
    </row>
    <row r="54" spans="3:13" x14ac:dyDescent="0.25">
      <c r="C54" s="464"/>
      <c r="D54" s="464"/>
      <c r="E54" s="464"/>
      <c r="F54" s="464"/>
      <c r="G54" s="464"/>
      <c r="H54" s="464"/>
      <c r="I54" s="464"/>
      <c r="J54" s="464"/>
      <c r="K54" s="464"/>
      <c r="L54" s="464"/>
      <c r="M54" s="464"/>
    </row>
  </sheetData>
  <mergeCells count="88">
    <mergeCell ref="I16:M16"/>
    <mergeCell ref="D20:F20"/>
    <mergeCell ref="D16:F16"/>
    <mergeCell ref="D17:F17"/>
    <mergeCell ref="D18:F18"/>
    <mergeCell ref="D19:F19"/>
    <mergeCell ref="D5:G5"/>
    <mergeCell ref="C29:G29"/>
    <mergeCell ref="C30:D30"/>
    <mergeCell ref="F30:G30"/>
    <mergeCell ref="K13:M13"/>
    <mergeCell ref="K14:M14"/>
    <mergeCell ref="D7:G8"/>
    <mergeCell ref="J7:M8"/>
    <mergeCell ref="D14:G14"/>
    <mergeCell ref="D13:G13"/>
    <mergeCell ref="D10:F10"/>
    <mergeCell ref="D11:F11"/>
    <mergeCell ref="I13:J13"/>
    <mergeCell ref="I14:J14"/>
    <mergeCell ref="I22:K22"/>
    <mergeCell ref="L22:M22"/>
    <mergeCell ref="C32:D32"/>
    <mergeCell ref="F32:G32"/>
    <mergeCell ref="C33:D33"/>
    <mergeCell ref="F33:G33"/>
    <mergeCell ref="C34:D34"/>
    <mergeCell ref="F34:G34"/>
    <mergeCell ref="C35:D35"/>
    <mergeCell ref="F35:G35"/>
    <mergeCell ref="C36:D36"/>
    <mergeCell ref="F36:G36"/>
    <mergeCell ref="C38:G38"/>
    <mergeCell ref="C44:D44"/>
    <mergeCell ref="F44:G44"/>
    <mergeCell ref="C39:D39"/>
    <mergeCell ref="F39:G39"/>
    <mergeCell ref="C40:D40"/>
    <mergeCell ref="F40:G40"/>
    <mergeCell ref="C41:D41"/>
    <mergeCell ref="F41:G41"/>
    <mergeCell ref="I36:J36"/>
    <mergeCell ref="L36:M36"/>
    <mergeCell ref="C45:D45"/>
    <mergeCell ref="F45:G45"/>
    <mergeCell ref="I29:M29"/>
    <mergeCell ref="I30:J30"/>
    <mergeCell ref="L30:M30"/>
    <mergeCell ref="I31:J31"/>
    <mergeCell ref="L31:M31"/>
    <mergeCell ref="I32:J32"/>
    <mergeCell ref="L32:M32"/>
    <mergeCell ref="I33:J33"/>
    <mergeCell ref="C42:D42"/>
    <mergeCell ref="F42:G42"/>
    <mergeCell ref="C43:D43"/>
    <mergeCell ref="F43:G43"/>
    <mergeCell ref="L33:M33"/>
    <mergeCell ref="I34:J34"/>
    <mergeCell ref="L34:M34"/>
    <mergeCell ref="I35:J35"/>
    <mergeCell ref="L35:M35"/>
    <mergeCell ref="I41:J41"/>
    <mergeCell ref="L41:M41"/>
    <mergeCell ref="I42:J42"/>
    <mergeCell ref="L42:M42"/>
    <mergeCell ref="I37:J37"/>
    <mergeCell ref="L37:M37"/>
    <mergeCell ref="I38:J38"/>
    <mergeCell ref="L38:M38"/>
    <mergeCell ref="I39:J39"/>
    <mergeCell ref="L39:M39"/>
    <mergeCell ref="C54:M54"/>
    <mergeCell ref="C2:M3"/>
    <mergeCell ref="C48:M48"/>
    <mergeCell ref="C49:M49"/>
    <mergeCell ref="C50:M50"/>
    <mergeCell ref="C51:M51"/>
    <mergeCell ref="C52:M52"/>
    <mergeCell ref="C53:M53"/>
    <mergeCell ref="I43:J43"/>
    <mergeCell ref="L43:M43"/>
    <mergeCell ref="I44:J44"/>
    <mergeCell ref="L44:M44"/>
    <mergeCell ref="C46:M46"/>
    <mergeCell ref="C47:M47"/>
    <mergeCell ref="I40:J40"/>
    <mergeCell ref="L40:M40"/>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C5:Q30"/>
  <sheetViews>
    <sheetView workbookViewId="0">
      <selection activeCell="I22" sqref="I22"/>
    </sheetView>
  </sheetViews>
  <sheetFormatPr baseColWidth="10" defaultColWidth="11.42578125" defaultRowHeight="15" x14ac:dyDescent="0.25"/>
  <cols>
    <col min="1" max="2" width="11.42578125" style="59"/>
    <col min="3" max="3" width="19.7109375" style="59" bestFit="1" customWidth="1"/>
    <col min="4" max="4" width="15.42578125" style="59" customWidth="1"/>
    <col min="5" max="5" width="16.42578125" style="59" customWidth="1"/>
    <col min="6" max="6" width="21.7109375" style="59" bestFit="1" customWidth="1"/>
    <col min="7" max="10" width="11.42578125" style="59"/>
    <col min="11" max="11" width="15.42578125" style="59" customWidth="1"/>
    <col min="12" max="12" width="13.85546875" style="59" customWidth="1"/>
    <col min="13" max="13" width="20.140625" style="59" customWidth="1"/>
    <col min="14" max="16384" width="11.42578125" style="59"/>
  </cols>
  <sheetData>
    <row r="5" spans="3:17" x14ac:dyDescent="0.25">
      <c r="C5" s="732" t="s">
        <v>750</v>
      </c>
      <c r="D5" s="733"/>
      <c r="E5" s="733"/>
      <c r="F5" s="733"/>
      <c r="G5" s="733"/>
      <c r="H5" s="733"/>
      <c r="I5" s="733"/>
      <c r="J5" s="733"/>
      <c r="K5" s="733"/>
      <c r="L5" s="733"/>
      <c r="M5" s="733"/>
      <c r="N5" s="733"/>
      <c r="O5" s="733"/>
      <c r="P5" s="733"/>
      <c r="Q5" s="734"/>
    </row>
    <row r="6" spans="3:17" x14ac:dyDescent="0.25">
      <c r="C6" s="735"/>
      <c r="D6" s="736"/>
      <c r="E6" s="736"/>
      <c r="F6" s="736"/>
      <c r="G6" s="736"/>
      <c r="H6" s="736"/>
      <c r="I6" s="736"/>
      <c r="J6" s="736"/>
      <c r="K6" s="736"/>
      <c r="L6" s="736"/>
      <c r="M6" s="736"/>
      <c r="N6" s="736"/>
      <c r="O6" s="736"/>
      <c r="P6" s="736"/>
      <c r="Q6" s="737"/>
    </row>
    <row r="7" spans="3:17" x14ac:dyDescent="0.25">
      <c r="C7" s="343"/>
      <c r="D7" s="343"/>
      <c r="E7" s="343"/>
      <c r="F7" s="343"/>
      <c r="G7" s="343"/>
      <c r="H7" s="343"/>
      <c r="I7" s="343"/>
      <c r="J7" s="343"/>
      <c r="K7" s="343"/>
      <c r="L7" s="343"/>
      <c r="M7" s="343"/>
      <c r="N7" s="343"/>
      <c r="O7" s="343"/>
      <c r="P7" s="343"/>
      <c r="Q7" s="343"/>
    </row>
    <row r="8" spans="3:17" x14ac:dyDescent="0.25">
      <c r="C8" s="344" t="s">
        <v>742</v>
      </c>
      <c r="D8" s="345"/>
      <c r="E8" s="343"/>
      <c r="F8" s="344" t="s">
        <v>743</v>
      </c>
      <c r="G8" s="738"/>
      <c r="H8" s="739"/>
      <c r="I8" s="343"/>
      <c r="J8" s="343"/>
      <c r="K8" s="344" t="s">
        <v>746</v>
      </c>
      <c r="L8" s="346"/>
      <c r="M8" s="345"/>
      <c r="N8" s="343"/>
      <c r="O8" s="343"/>
      <c r="P8" s="343"/>
      <c r="Q8" s="343"/>
    </row>
    <row r="9" spans="3:17" x14ac:dyDescent="0.25">
      <c r="C9" s="347" t="s">
        <v>741</v>
      </c>
      <c r="D9" s="348"/>
      <c r="E9" s="343"/>
      <c r="F9" s="347" t="s">
        <v>744</v>
      </c>
      <c r="G9" s="740"/>
      <c r="H9" s="741"/>
      <c r="I9" s="343"/>
      <c r="J9" s="343"/>
      <c r="K9" s="347" t="s">
        <v>745</v>
      </c>
      <c r="L9" s="349"/>
      <c r="M9" s="348"/>
      <c r="N9" s="343"/>
      <c r="O9" s="343"/>
      <c r="P9" s="343"/>
      <c r="Q9" s="343"/>
    </row>
    <row r="10" spans="3:17" x14ac:dyDescent="0.25">
      <c r="C10" s="344" t="s">
        <v>740</v>
      </c>
      <c r="D10" s="346"/>
      <c r="E10" s="346"/>
      <c r="F10" s="346"/>
      <c r="G10" s="346"/>
      <c r="H10" s="345"/>
      <c r="I10" s="344" t="s">
        <v>747</v>
      </c>
      <c r="J10" s="346"/>
      <c r="K10" s="346"/>
      <c r="L10" s="738"/>
      <c r="M10" s="738"/>
      <c r="N10" s="738"/>
      <c r="O10" s="738"/>
      <c r="P10" s="738"/>
      <c r="Q10" s="739"/>
    </row>
    <row r="11" spans="3:17" x14ac:dyDescent="0.25">
      <c r="C11" s="350"/>
      <c r="D11" s="350"/>
      <c r="E11" s="350"/>
      <c r="F11" s="742" t="s">
        <v>748</v>
      </c>
      <c r="G11" s="743"/>
      <c r="H11" s="743"/>
      <c r="I11" s="744"/>
      <c r="J11" s="346"/>
      <c r="K11" s="346"/>
      <c r="L11" s="351"/>
      <c r="M11" s="742" t="s">
        <v>749</v>
      </c>
      <c r="N11" s="743"/>
      <c r="O11" s="743"/>
      <c r="P11" s="743"/>
      <c r="Q11" s="744"/>
    </row>
    <row r="12" spans="3:17" s="340" customFormat="1" ht="80.25" customHeight="1" x14ac:dyDescent="0.25">
      <c r="C12" s="341" t="s">
        <v>731</v>
      </c>
      <c r="D12" s="341" t="s">
        <v>732</v>
      </c>
      <c r="E12" s="341" t="s">
        <v>739</v>
      </c>
      <c r="F12" s="341" t="s">
        <v>733</v>
      </c>
      <c r="G12" s="341" t="s">
        <v>734</v>
      </c>
      <c r="H12" s="341" t="s">
        <v>187</v>
      </c>
      <c r="I12" s="342" t="s">
        <v>120</v>
      </c>
      <c r="J12" s="342" t="s">
        <v>735</v>
      </c>
      <c r="K12" s="342" t="s">
        <v>736</v>
      </c>
      <c r="L12" s="342" t="s">
        <v>737</v>
      </c>
      <c r="M12" s="342" t="s">
        <v>738</v>
      </c>
      <c r="N12" s="342" t="s">
        <v>734</v>
      </c>
      <c r="O12" s="342" t="s">
        <v>187</v>
      </c>
      <c r="P12" s="342" t="s">
        <v>120</v>
      </c>
      <c r="Q12" s="342" t="s">
        <v>735</v>
      </c>
    </row>
    <row r="13" spans="3:17" x14ac:dyDescent="0.25">
      <c r="C13" s="255"/>
      <c r="D13" s="255"/>
      <c r="E13" s="255"/>
      <c r="F13" s="255"/>
      <c r="G13" s="255"/>
      <c r="H13" s="255"/>
      <c r="I13" s="255"/>
      <c r="J13" s="255"/>
      <c r="K13" s="255"/>
      <c r="L13" s="255"/>
      <c r="M13" s="255"/>
      <c r="N13" s="255"/>
      <c r="O13" s="255"/>
      <c r="P13" s="255"/>
      <c r="Q13" s="255"/>
    </row>
    <row r="14" spans="3:17" x14ac:dyDescent="0.25">
      <c r="C14" s="255"/>
      <c r="D14" s="255"/>
      <c r="E14" s="255"/>
      <c r="F14" s="255"/>
      <c r="G14" s="255"/>
      <c r="H14" s="255"/>
      <c r="I14" s="255"/>
      <c r="J14" s="255"/>
      <c r="K14" s="255"/>
      <c r="L14" s="255"/>
      <c r="M14" s="255"/>
      <c r="N14" s="255"/>
      <c r="O14" s="255"/>
      <c r="P14" s="255"/>
      <c r="Q14" s="255"/>
    </row>
    <row r="15" spans="3:17" x14ac:dyDescent="0.25">
      <c r="C15" s="255"/>
      <c r="D15" s="255"/>
      <c r="E15" s="255"/>
      <c r="F15" s="255"/>
      <c r="G15" s="255"/>
      <c r="H15" s="255"/>
      <c r="I15" s="255"/>
      <c r="J15" s="255"/>
      <c r="K15" s="255"/>
      <c r="L15" s="255"/>
      <c r="M15" s="255"/>
      <c r="N15" s="255"/>
      <c r="O15" s="255"/>
      <c r="P15" s="255"/>
      <c r="Q15" s="255"/>
    </row>
    <row r="16" spans="3:17" x14ac:dyDescent="0.25">
      <c r="C16" s="255"/>
      <c r="D16" s="255"/>
      <c r="E16" s="255"/>
      <c r="F16" s="255"/>
      <c r="G16" s="255"/>
      <c r="H16" s="255"/>
      <c r="I16" s="255"/>
      <c r="J16" s="255"/>
      <c r="K16" s="255"/>
      <c r="L16" s="255"/>
      <c r="M16" s="255"/>
      <c r="N16" s="255"/>
      <c r="O16" s="255"/>
      <c r="P16" s="255"/>
      <c r="Q16" s="255"/>
    </row>
    <row r="17" spans="3:17" x14ac:dyDescent="0.25">
      <c r="C17" s="255"/>
      <c r="D17" s="255"/>
      <c r="E17" s="255"/>
      <c r="F17" s="255"/>
      <c r="G17" s="255"/>
      <c r="H17" s="255"/>
      <c r="I17" s="255"/>
      <c r="J17" s="255"/>
      <c r="K17" s="255"/>
      <c r="L17" s="255"/>
      <c r="M17" s="255"/>
      <c r="N17" s="255"/>
      <c r="O17" s="255"/>
      <c r="P17" s="255"/>
      <c r="Q17" s="255"/>
    </row>
    <row r="18" spans="3:17" x14ac:dyDescent="0.25">
      <c r="C18" s="255"/>
      <c r="D18" s="255"/>
      <c r="E18" s="255"/>
      <c r="F18" s="255"/>
      <c r="G18" s="255"/>
      <c r="H18" s="255"/>
      <c r="I18" s="255"/>
      <c r="J18" s="255"/>
      <c r="K18" s="255"/>
      <c r="L18" s="255"/>
      <c r="M18" s="255"/>
      <c r="N18" s="255"/>
      <c r="O18" s="255"/>
      <c r="P18" s="255"/>
      <c r="Q18" s="255"/>
    </row>
    <row r="19" spans="3:17" x14ac:dyDescent="0.25">
      <c r="C19" s="255"/>
      <c r="D19" s="255"/>
      <c r="E19" s="255"/>
      <c r="F19" s="255"/>
      <c r="G19" s="255"/>
      <c r="H19" s="255"/>
      <c r="I19" s="255"/>
      <c r="J19" s="255"/>
      <c r="K19" s="255"/>
      <c r="L19" s="255"/>
      <c r="M19" s="255"/>
      <c r="N19" s="255"/>
      <c r="O19" s="255"/>
      <c r="P19" s="255"/>
      <c r="Q19" s="255"/>
    </row>
    <row r="20" spans="3:17" x14ac:dyDescent="0.25">
      <c r="C20" s="255"/>
      <c r="D20" s="255"/>
      <c r="E20" s="255"/>
      <c r="F20" s="255"/>
      <c r="G20" s="255"/>
      <c r="H20" s="255"/>
      <c r="I20" s="255"/>
      <c r="J20" s="255"/>
      <c r="K20" s="255"/>
      <c r="L20" s="255"/>
      <c r="M20" s="255"/>
      <c r="N20" s="255"/>
      <c r="O20" s="255"/>
      <c r="P20" s="255"/>
      <c r="Q20" s="255"/>
    </row>
    <row r="21" spans="3:17" x14ac:dyDescent="0.25">
      <c r="C21" s="255"/>
      <c r="D21" s="255"/>
      <c r="E21" s="255"/>
      <c r="F21" s="255"/>
      <c r="G21" s="255"/>
      <c r="H21" s="255"/>
      <c r="I21" s="255"/>
      <c r="J21" s="255"/>
      <c r="K21" s="255"/>
      <c r="L21" s="255"/>
      <c r="M21" s="255"/>
      <c r="N21" s="255"/>
      <c r="O21" s="255"/>
      <c r="P21" s="255"/>
      <c r="Q21" s="255"/>
    </row>
    <row r="22" spans="3:17" x14ac:dyDescent="0.25">
      <c r="C22" s="255"/>
      <c r="D22" s="255"/>
      <c r="E22" s="255"/>
      <c r="F22" s="255"/>
      <c r="G22" s="255"/>
      <c r="H22" s="255"/>
      <c r="I22" s="255"/>
      <c r="J22" s="255"/>
      <c r="K22" s="255"/>
      <c r="L22" s="255"/>
      <c r="M22" s="255"/>
      <c r="N22" s="255"/>
      <c r="O22" s="255"/>
      <c r="P22" s="255"/>
      <c r="Q22" s="255"/>
    </row>
    <row r="23" spans="3:17" x14ac:dyDescent="0.25">
      <c r="C23" s="255"/>
      <c r="D23" s="255"/>
      <c r="E23" s="255"/>
      <c r="F23" s="255"/>
      <c r="G23" s="255"/>
      <c r="H23" s="255"/>
      <c r="I23" s="255"/>
      <c r="J23" s="255"/>
      <c r="K23" s="255"/>
      <c r="L23" s="255"/>
      <c r="M23" s="255"/>
      <c r="N23" s="255"/>
      <c r="O23" s="255"/>
      <c r="P23" s="255"/>
      <c r="Q23" s="255"/>
    </row>
    <row r="24" spans="3:17" x14ac:dyDescent="0.25">
      <c r="C24" s="255"/>
      <c r="D24" s="255"/>
      <c r="E24" s="255"/>
      <c r="F24" s="255"/>
      <c r="G24" s="255"/>
      <c r="H24" s="255"/>
      <c r="I24" s="255"/>
      <c r="J24" s="255"/>
      <c r="K24" s="255"/>
      <c r="L24" s="255"/>
      <c r="M24" s="255"/>
      <c r="N24" s="255"/>
      <c r="O24" s="255"/>
      <c r="P24" s="255"/>
      <c r="Q24" s="255"/>
    </row>
    <row r="25" spans="3:17" x14ac:dyDescent="0.25">
      <c r="C25" s="255"/>
      <c r="D25" s="255"/>
      <c r="E25" s="255"/>
      <c r="F25" s="255"/>
      <c r="G25" s="255"/>
      <c r="H25" s="255"/>
      <c r="I25" s="255"/>
      <c r="J25" s="255"/>
      <c r="K25" s="255"/>
      <c r="L25" s="255"/>
      <c r="M25" s="255"/>
      <c r="N25" s="255"/>
      <c r="O25" s="255"/>
      <c r="P25" s="255"/>
      <c r="Q25" s="255"/>
    </row>
    <row r="26" spans="3:17" x14ac:dyDescent="0.25">
      <c r="C26" s="255"/>
      <c r="D26" s="255"/>
      <c r="E26" s="255"/>
      <c r="F26" s="255"/>
      <c r="G26" s="255"/>
      <c r="H26" s="255"/>
      <c r="I26" s="255"/>
      <c r="J26" s="255"/>
      <c r="K26" s="255"/>
      <c r="L26" s="255"/>
      <c r="M26" s="255"/>
      <c r="N26" s="255"/>
      <c r="O26" s="255"/>
      <c r="P26" s="255"/>
      <c r="Q26" s="255"/>
    </row>
    <row r="27" spans="3:17" x14ac:dyDescent="0.25">
      <c r="C27" s="255"/>
      <c r="D27" s="255"/>
      <c r="E27" s="255"/>
      <c r="F27" s="255"/>
      <c r="G27" s="255"/>
      <c r="H27" s="255"/>
      <c r="I27" s="255"/>
      <c r="J27" s="255"/>
      <c r="K27" s="255"/>
      <c r="L27" s="255"/>
      <c r="M27" s="255"/>
      <c r="N27" s="255"/>
      <c r="O27" s="255"/>
      <c r="P27" s="255"/>
      <c r="Q27" s="255"/>
    </row>
    <row r="28" spans="3:17" x14ac:dyDescent="0.25">
      <c r="C28" s="255"/>
      <c r="D28" s="255"/>
      <c r="E28" s="255"/>
      <c r="F28" s="255"/>
      <c r="G28" s="255"/>
      <c r="H28" s="255"/>
      <c r="I28" s="255"/>
      <c r="J28" s="255"/>
      <c r="K28" s="255"/>
      <c r="L28" s="255"/>
      <c r="M28" s="255"/>
      <c r="N28" s="255"/>
      <c r="O28" s="255"/>
      <c r="P28" s="255"/>
      <c r="Q28" s="255"/>
    </row>
    <row r="29" spans="3:17" x14ac:dyDescent="0.25">
      <c r="C29" s="255"/>
      <c r="D29" s="255"/>
      <c r="E29" s="255"/>
      <c r="F29" s="255"/>
      <c r="G29" s="255"/>
      <c r="H29" s="255"/>
      <c r="I29" s="255"/>
      <c r="J29" s="255"/>
      <c r="K29" s="255"/>
      <c r="L29" s="255"/>
      <c r="M29" s="255"/>
      <c r="N29" s="255"/>
      <c r="O29" s="255"/>
      <c r="P29" s="255"/>
      <c r="Q29" s="255"/>
    </row>
    <row r="30" spans="3:17" x14ac:dyDescent="0.25">
      <c r="C30" s="255"/>
      <c r="D30" s="255"/>
      <c r="E30" s="255"/>
      <c r="F30" s="255"/>
      <c r="G30" s="255"/>
      <c r="H30" s="255"/>
      <c r="I30" s="255"/>
      <c r="J30" s="255"/>
      <c r="K30" s="255"/>
      <c r="L30" s="255"/>
      <c r="M30" s="255"/>
      <c r="N30" s="255"/>
      <c r="O30" s="255"/>
      <c r="P30" s="255"/>
      <c r="Q30" s="255"/>
    </row>
  </sheetData>
  <mergeCells count="6">
    <mergeCell ref="C5:Q6"/>
    <mergeCell ref="G8:H8"/>
    <mergeCell ref="G9:H9"/>
    <mergeCell ref="L10:Q10"/>
    <mergeCell ref="F11:I11"/>
    <mergeCell ref="M11:Q1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E42"/>
  <sheetViews>
    <sheetView workbookViewId="0">
      <selection activeCell="E15" sqref="E15"/>
    </sheetView>
  </sheetViews>
  <sheetFormatPr baseColWidth="10" defaultColWidth="10.7109375" defaultRowHeight="15" x14ac:dyDescent="0.25"/>
  <cols>
    <col min="2" max="3" width="11.42578125"/>
    <col min="4" max="4" width="52.5703125" customWidth="1"/>
    <col min="5" max="5" width="89" customWidth="1"/>
  </cols>
  <sheetData>
    <row r="2" spans="2:5" x14ac:dyDescent="0.25">
      <c r="B2" s="747" t="s">
        <v>847</v>
      </c>
      <c r="C2" s="747"/>
      <c r="D2" s="747"/>
      <c r="E2" s="747"/>
    </row>
    <row r="3" spans="2:5" x14ac:dyDescent="0.25">
      <c r="B3" s="747"/>
      <c r="C3" s="747"/>
      <c r="D3" s="747"/>
      <c r="E3" s="747"/>
    </row>
    <row r="5" spans="2:5" x14ac:dyDescent="0.25">
      <c r="B5" s="746" t="s">
        <v>788</v>
      </c>
      <c r="C5" s="746"/>
      <c r="D5" s="746"/>
      <c r="E5" s="353" t="s">
        <v>789</v>
      </c>
    </row>
    <row r="6" spans="2:5" x14ac:dyDescent="0.25">
      <c r="B6" s="707" t="s">
        <v>751</v>
      </c>
      <c r="C6" s="707"/>
      <c r="D6" s="707"/>
      <c r="E6" s="352"/>
    </row>
    <row r="7" spans="2:5" x14ac:dyDescent="0.25">
      <c r="B7" s="439" t="s">
        <v>752</v>
      </c>
      <c r="C7" s="439"/>
      <c r="D7" s="439"/>
      <c r="E7" s="6"/>
    </row>
    <row r="8" spans="2:5" x14ac:dyDescent="0.25">
      <c r="B8" s="439" t="s">
        <v>753</v>
      </c>
      <c r="C8" s="439"/>
      <c r="D8" s="439"/>
      <c r="E8" s="6"/>
    </row>
    <row r="9" spans="2:5" x14ac:dyDescent="0.25">
      <c r="B9" s="439" t="s">
        <v>754</v>
      </c>
      <c r="C9" s="439"/>
      <c r="D9" s="439"/>
      <c r="E9" s="6"/>
    </row>
    <row r="10" spans="2:5" x14ac:dyDescent="0.25">
      <c r="B10" s="707" t="s">
        <v>755</v>
      </c>
      <c r="C10" s="707"/>
      <c r="D10" s="707"/>
      <c r="E10" s="352"/>
    </row>
    <row r="11" spans="2:5" x14ac:dyDescent="0.25">
      <c r="B11" s="439" t="s">
        <v>756</v>
      </c>
      <c r="C11" s="439"/>
      <c r="D11" s="439"/>
      <c r="E11" s="6"/>
    </row>
    <row r="12" spans="2:5" x14ac:dyDescent="0.25">
      <c r="B12" s="439" t="s">
        <v>757</v>
      </c>
      <c r="C12" s="439"/>
      <c r="D12" s="439"/>
      <c r="E12" s="6"/>
    </row>
    <row r="13" spans="2:5" x14ac:dyDescent="0.25">
      <c r="B13" s="707" t="s">
        <v>758</v>
      </c>
      <c r="C13" s="707"/>
      <c r="D13" s="707"/>
      <c r="E13" s="352"/>
    </row>
    <row r="14" spans="2:5" x14ac:dyDescent="0.25">
      <c r="B14" s="439" t="s">
        <v>759</v>
      </c>
      <c r="C14" s="439"/>
      <c r="D14" s="439"/>
      <c r="E14" s="6"/>
    </row>
    <row r="15" spans="2:5" x14ac:dyDescent="0.25">
      <c r="B15" s="439" t="s">
        <v>760</v>
      </c>
      <c r="C15" s="439"/>
      <c r="D15" s="439"/>
      <c r="E15" s="6"/>
    </row>
    <row r="16" spans="2:5" x14ac:dyDescent="0.25">
      <c r="B16" s="707" t="s">
        <v>761</v>
      </c>
      <c r="C16" s="707"/>
      <c r="D16" s="707"/>
      <c r="E16" s="352"/>
    </row>
    <row r="17" spans="2:5" x14ac:dyDescent="0.25">
      <c r="B17" s="439" t="s">
        <v>762</v>
      </c>
      <c r="C17" s="439"/>
      <c r="D17" s="439"/>
      <c r="E17" s="6"/>
    </row>
    <row r="18" spans="2:5" x14ac:dyDescent="0.25">
      <c r="B18" s="439" t="s">
        <v>763</v>
      </c>
      <c r="C18" s="439"/>
      <c r="D18" s="439"/>
      <c r="E18" s="6"/>
    </row>
    <row r="19" spans="2:5" x14ac:dyDescent="0.25">
      <c r="B19" s="439" t="s">
        <v>776</v>
      </c>
      <c r="C19" s="439"/>
      <c r="D19" s="439"/>
      <c r="E19" s="6"/>
    </row>
    <row r="20" spans="2:5" ht="40.5" customHeight="1" x14ac:dyDescent="0.25">
      <c r="B20" s="748" t="s">
        <v>777</v>
      </c>
      <c r="C20" s="748"/>
      <c r="D20" s="748"/>
      <c r="E20" s="6"/>
    </row>
    <row r="21" spans="2:5" x14ac:dyDescent="0.25">
      <c r="B21" s="707" t="s">
        <v>764</v>
      </c>
      <c r="C21" s="707"/>
      <c r="D21" s="707"/>
      <c r="E21" s="352"/>
    </row>
    <row r="22" spans="2:5" x14ac:dyDescent="0.25">
      <c r="B22" s="439" t="s">
        <v>765</v>
      </c>
      <c r="C22" s="439"/>
      <c r="D22" s="439"/>
      <c r="E22" s="6"/>
    </row>
    <row r="23" spans="2:5" x14ac:dyDescent="0.25">
      <c r="B23" s="439" t="s">
        <v>766</v>
      </c>
      <c r="C23" s="439"/>
      <c r="D23" s="439"/>
      <c r="E23" s="6"/>
    </row>
    <row r="24" spans="2:5" x14ac:dyDescent="0.25">
      <c r="B24" s="707" t="s">
        <v>767</v>
      </c>
      <c r="C24" s="707"/>
      <c r="D24" s="707"/>
      <c r="E24" s="352"/>
    </row>
    <row r="25" spans="2:5" x14ac:dyDescent="0.25">
      <c r="B25" s="439" t="s">
        <v>768</v>
      </c>
      <c r="C25" s="439"/>
      <c r="D25" s="439"/>
      <c r="E25" s="6"/>
    </row>
    <row r="26" spans="2:5" x14ac:dyDescent="0.25">
      <c r="B26" s="439" t="s">
        <v>769</v>
      </c>
      <c r="C26" s="439"/>
      <c r="D26" s="439"/>
      <c r="E26" s="6"/>
    </row>
    <row r="27" spans="2:5" x14ac:dyDescent="0.25">
      <c r="B27" s="439" t="s">
        <v>770</v>
      </c>
      <c r="C27" s="439"/>
      <c r="D27" s="439"/>
      <c r="E27" s="6"/>
    </row>
    <row r="28" spans="2:5" x14ac:dyDescent="0.25">
      <c r="B28" s="439" t="s">
        <v>771</v>
      </c>
      <c r="C28" s="439"/>
      <c r="D28" s="439"/>
      <c r="E28" s="6"/>
    </row>
    <row r="29" spans="2:5" x14ac:dyDescent="0.25">
      <c r="B29" s="439" t="s">
        <v>772</v>
      </c>
      <c r="C29" s="439"/>
      <c r="D29" s="439"/>
      <c r="E29" s="6"/>
    </row>
    <row r="30" spans="2:5" x14ac:dyDescent="0.25">
      <c r="B30" s="707" t="s">
        <v>773</v>
      </c>
      <c r="C30" s="707"/>
      <c r="D30" s="707"/>
      <c r="E30" s="352"/>
    </row>
    <row r="31" spans="2:5" x14ac:dyDescent="0.25">
      <c r="B31" s="439" t="s">
        <v>774</v>
      </c>
      <c r="C31" s="439"/>
      <c r="D31" s="439"/>
      <c r="E31" s="6"/>
    </row>
    <row r="32" spans="2:5" x14ac:dyDescent="0.25">
      <c r="B32" s="439" t="s">
        <v>775</v>
      </c>
      <c r="C32" s="439"/>
      <c r="D32" s="439"/>
      <c r="E32" s="6"/>
    </row>
    <row r="33" spans="2:5" x14ac:dyDescent="0.25">
      <c r="B33" s="707" t="s">
        <v>778</v>
      </c>
      <c r="C33" s="707"/>
      <c r="D33" s="707"/>
      <c r="E33" s="352"/>
    </row>
    <row r="34" spans="2:5" x14ac:dyDescent="0.25">
      <c r="B34" s="439" t="s">
        <v>779</v>
      </c>
      <c r="C34" s="439"/>
      <c r="D34" s="439"/>
      <c r="E34" s="6"/>
    </row>
    <row r="35" spans="2:5" x14ac:dyDescent="0.25">
      <c r="B35" s="439" t="s">
        <v>780</v>
      </c>
      <c r="C35" s="439"/>
      <c r="D35" s="439"/>
      <c r="E35" s="6"/>
    </row>
    <row r="36" spans="2:5" x14ac:dyDescent="0.25">
      <c r="B36" s="439" t="s">
        <v>781</v>
      </c>
      <c r="C36" s="439"/>
      <c r="D36" s="439"/>
      <c r="E36" s="6"/>
    </row>
    <row r="37" spans="2:5" x14ac:dyDescent="0.25">
      <c r="B37" s="707" t="s">
        <v>782</v>
      </c>
      <c r="C37" s="707"/>
      <c r="D37" s="707"/>
      <c r="E37" s="352"/>
    </row>
    <row r="38" spans="2:5" ht="30" customHeight="1" x14ac:dyDescent="0.25">
      <c r="B38" s="745" t="s">
        <v>783</v>
      </c>
      <c r="C38" s="745"/>
      <c r="D38" s="745"/>
      <c r="E38" s="6"/>
    </row>
    <row r="39" spans="2:5" x14ac:dyDescent="0.25">
      <c r="B39" s="439" t="s">
        <v>784</v>
      </c>
      <c r="C39" s="439"/>
      <c r="D39" s="439"/>
      <c r="E39" s="6"/>
    </row>
    <row r="40" spans="2:5" x14ac:dyDescent="0.25">
      <c r="B40" s="707" t="s">
        <v>785</v>
      </c>
      <c r="C40" s="707"/>
      <c r="D40" s="707"/>
      <c r="E40" s="352"/>
    </row>
    <row r="41" spans="2:5" x14ac:dyDescent="0.25">
      <c r="B41" s="439" t="s">
        <v>786</v>
      </c>
      <c r="C41" s="439"/>
      <c r="D41" s="439"/>
      <c r="E41" s="6"/>
    </row>
    <row r="42" spans="2:5" ht="43.5" customHeight="1" x14ac:dyDescent="0.25">
      <c r="B42" s="745" t="s">
        <v>787</v>
      </c>
      <c r="C42" s="745"/>
      <c r="D42" s="745"/>
      <c r="E42" s="6"/>
    </row>
  </sheetData>
  <mergeCells count="39">
    <mergeCell ref="B11:D11"/>
    <mergeCell ref="B7:D7"/>
    <mergeCell ref="B8:D8"/>
    <mergeCell ref="B9:D9"/>
    <mergeCell ref="B6:D6"/>
    <mergeCell ref="B10:D10"/>
    <mergeCell ref="B25:D25"/>
    <mergeCell ref="B12:D12"/>
    <mergeCell ref="B13:D13"/>
    <mergeCell ref="B14:D14"/>
    <mergeCell ref="B15:D15"/>
    <mergeCell ref="B16:D16"/>
    <mergeCell ref="B17:D17"/>
    <mergeCell ref="B20:D20"/>
    <mergeCell ref="B21:D21"/>
    <mergeCell ref="B22:D22"/>
    <mergeCell ref="B23:D23"/>
    <mergeCell ref="B24:D24"/>
    <mergeCell ref="B27:D27"/>
    <mergeCell ref="B28:D28"/>
    <mergeCell ref="B29:D29"/>
    <mergeCell ref="B30:D30"/>
    <mergeCell ref="B31:D31"/>
    <mergeCell ref="B41:D41"/>
    <mergeCell ref="B42:D42"/>
    <mergeCell ref="B5:D5"/>
    <mergeCell ref="B2:E3"/>
    <mergeCell ref="B18:D18"/>
    <mergeCell ref="B19:D19"/>
    <mergeCell ref="B35:D35"/>
    <mergeCell ref="B36:D36"/>
    <mergeCell ref="B37:D37"/>
    <mergeCell ref="B38:D38"/>
    <mergeCell ref="B39:D39"/>
    <mergeCell ref="B40:D40"/>
    <mergeCell ref="B32:D32"/>
    <mergeCell ref="B33:D33"/>
    <mergeCell ref="B34:D34"/>
    <mergeCell ref="B26:D2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Q64"/>
  <sheetViews>
    <sheetView zoomScale="75" zoomScaleNormal="75" workbookViewId="0">
      <selection activeCell="L17" sqref="L17"/>
    </sheetView>
  </sheetViews>
  <sheetFormatPr baseColWidth="10" defaultColWidth="11.42578125" defaultRowHeight="15" x14ac:dyDescent="0.25"/>
  <cols>
    <col min="1" max="5" width="11.42578125" style="369"/>
    <col min="6" max="6" width="19.7109375" style="369" customWidth="1"/>
    <col min="7" max="7" width="14.28515625" style="369" customWidth="1"/>
    <col min="8" max="8" width="17.42578125" style="369" customWidth="1"/>
    <col min="9" max="14" width="11.42578125" style="369"/>
    <col min="15" max="15" width="22.140625" style="369" customWidth="1"/>
    <col min="16" max="16" width="15.42578125" style="369" customWidth="1"/>
    <col min="17" max="17" width="16.7109375" style="369" customWidth="1"/>
    <col min="18" max="16384" width="11.42578125" style="369"/>
  </cols>
  <sheetData>
    <row r="1" spans="2:17" x14ac:dyDescent="0.25">
      <c r="B1" s="755" t="s">
        <v>830</v>
      </c>
      <c r="C1" s="756"/>
      <c r="D1" s="756"/>
      <c r="E1" s="756"/>
      <c r="F1" s="756"/>
      <c r="G1" s="756"/>
      <c r="H1" s="756"/>
      <c r="I1" s="756"/>
      <c r="J1" s="756"/>
      <c r="K1" s="756"/>
      <c r="L1" s="756"/>
      <c r="M1" s="756"/>
      <c r="N1" s="756"/>
      <c r="O1" s="756"/>
      <c r="P1" s="756"/>
      <c r="Q1" s="757"/>
    </row>
    <row r="2" spans="2:17" x14ac:dyDescent="0.25">
      <c r="B2" s="758"/>
      <c r="C2" s="759"/>
      <c r="D2" s="759"/>
      <c r="E2" s="759"/>
      <c r="F2" s="759"/>
      <c r="G2" s="759"/>
      <c r="H2" s="759"/>
      <c r="I2" s="759"/>
      <c r="J2" s="759"/>
      <c r="K2" s="759"/>
      <c r="L2" s="759"/>
      <c r="M2" s="759"/>
      <c r="N2" s="759"/>
      <c r="O2" s="759"/>
      <c r="P2" s="759"/>
      <c r="Q2" s="760"/>
    </row>
    <row r="3" spans="2:17" x14ac:dyDescent="0.25">
      <c r="B3" s="378"/>
      <c r="Q3" s="379"/>
    </row>
    <row r="4" spans="2:17" x14ac:dyDescent="0.25">
      <c r="B4" s="750" t="s">
        <v>828</v>
      </c>
      <c r="C4" s="751"/>
      <c r="D4" s="749"/>
      <c r="E4" s="749"/>
      <c r="F4" s="369" t="s">
        <v>370</v>
      </c>
      <c r="G4" s="749"/>
      <c r="H4" s="749"/>
      <c r="I4" s="749"/>
      <c r="J4" s="749"/>
      <c r="K4" s="749"/>
      <c r="L4" s="749"/>
      <c r="M4" s="369" t="s">
        <v>607</v>
      </c>
      <c r="N4" s="387"/>
      <c r="P4" s="369" t="s">
        <v>829</v>
      </c>
      <c r="Q4" s="387"/>
    </row>
    <row r="5" spans="2:17" x14ac:dyDescent="0.25">
      <c r="B5" s="378"/>
      <c r="Q5" s="379"/>
    </row>
    <row r="6" spans="2:17" x14ac:dyDescent="0.25">
      <c r="B6" s="378"/>
      <c r="Q6" s="379"/>
    </row>
    <row r="7" spans="2:17" x14ac:dyDescent="0.25">
      <c r="B7" s="742" t="s">
        <v>833</v>
      </c>
      <c r="C7" s="743"/>
      <c r="D7" s="743"/>
      <c r="E7" s="743"/>
      <c r="F7" s="743"/>
      <c r="G7" s="743"/>
      <c r="H7" s="744"/>
      <c r="I7" s="742" t="s">
        <v>831</v>
      </c>
      <c r="J7" s="743"/>
      <c r="K7" s="743"/>
      <c r="L7" s="743"/>
      <c r="M7" s="743"/>
      <c r="N7" s="743"/>
      <c r="O7" s="743"/>
      <c r="P7" s="743"/>
      <c r="Q7" s="744"/>
    </row>
    <row r="8" spans="2:17" x14ac:dyDescent="0.25">
      <c r="B8" s="764"/>
      <c r="C8" s="765"/>
      <c r="D8" s="765"/>
      <c r="E8" s="765"/>
      <c r="F8" s="765"/>
      <c r="G8" s="765"/>
      <c r="H8" s="766"/>
      <c r="I8" s="384"/>
      <c r="J8" s="384"/>
      <c r="K8" s="384"/>
      <c r="L8" s="384"/>
      <c r="M8" s="384"/>
      <c r="N8" s="384"/>
      <c r="O8" s="384"/>
      <c r="P8" s="384"/>
      <c r="Q8" s="385"/>
    </row>
    <row r="9" spans="2:17" x14ac:dyDescent="0.25">
      <c r="B9" s="767"/>
      <c r="C9" s="768"/>
      <c r="D9" s="768"/>
      <c r="E9" s="768"/>
      <c r="F9" s="768"/>
      <c r="G9" s="768"/>
      <c r="H9" s="769"/>
      <c r="I9" s="384"/>
      <c r="J9" s="384"/>
      <c r="K9" s="384"/>
      <c r="L9" s="384"/>
      <c r="M9" s="384"/>
      <c r="N9" s="384"/>
      <c r="O9" s="384"/>
      <c r="P9" s="384"/>
      <c r="Q9" s="385"/>
    </row>
    <row r="10" spans="2:17" x14ac:dyDescent="0.25">
      <c r="B10" s="767"/>
      <c r="C10" s="768"/>
      <c r="D10" s="768"/>
      <c r="E10" s="768"/>
      <c r="F10" s="768"/>
      <c r="G10" s="768"/>
      <c r="H10" s="769"/>
      <c r="I10" s="384"/>
      <c r="J10" s="384"/>
      <c r="K10" s="384"/>
      <c r="L10" s="384"/>
      <c r="M10" s="384"/>
      <c r="N10" s="384"/>
      <c r="O10" s="384"/>
      <c r="P10" s="384"/>
      <c r="Q10" s="385"/>
    </row>
    <row r="11" spans="2:17" x14ac:dyDescent="0.25">
      <c r="B11" s="767"/>
      <c r="C11" s="768"/>
      <c r="D11" s="768"/>
      <c r="E11" s="768"/>
      <c r="F11" s="768"/>
      <c r="G11" s="768"/>
      <c r="H11" s="769"/>
      <c r="I11" s="384"/>
      <c r="J11" s="384"/>
      <c r="K11" s="384"/>
      <c r="L11" s="384"/>
      <c r="M11" s="384"/>
      <c r="N11" s="384"/>
      <c r="O11" s="384"/>
      <c r="P11" s="384"/>
      <c r="Q11" s="385"/>
    </row>
    <row r="12" spans="2:17" x14ac:dyDescent="0.25">
      <c r="B12" s="770"/>
      <c r="C12" s="771"/>
      <c r="D12" s="771"/>
      <c r="E12" s="771"/>
      <c r="F12" s="771"/>
      <c r="G12" s="771"/>
      <c r="H12" s="772"/>
      <c r="I12" s="384"/>
      <c r="J12" s="384"/>
      <c r="K12" s="384"/>
      <c r="L12" s="384"/>
      <c r="M12" s="384"/>
      <c r="N12" s="384"/>
      <c r="O12" s="384"/>
      <c r="P12" s="384"/>
      <c r="Q12" s="385"/>
    </row>
    <row r="13" spans="2:17" x14ac:dyDescent="0.25">
      <c r="B13" s="749" t="s">
        <v>816</v>
      </c>
      <c r="C13" s="749"/>
      <c r="D13" s="749"/>
      <c r="E13" s="749"/>
      <c r="F13" s="749"/>
      <c r="G13" s="749"/>
      <c r="H13" s="749"/>
      <c r="I13" s="384"/>
      <c r="J13" s="384"/>
      <c r="K13" s="384"/>
      <c r="L13" s="384"/>
      <c r="M13" s="384"/>
      <c r="N13" s="384"/>
      <c r="O13" s="384"/>
      <c r="P13" s="384"/>
      <c r="Q13" s="385"/>
    </row>
    <row r="14" spans="2:17" x14ac:dyDescent="0.25">
      <c r="B14" s="749" t="s">
        <v>817</v>
      </c>
      <c r="C14" s="749"/>
      <c r="D14" s="749"/>
      <c r="E14" s="749"/>
      <c r="F14" s="387" t="s">
        <v>818</v>
      </c>
      <c r="G14" s="387" t="s">
        <v>607</v>
      </c>
      <c r="H14" s="387" t="s">
        <v>608</v>
      </c>
      <c r="I14" s="384"/>
      <c r="J14" s="384"/>
      <c r="K14" s="384"/>
      <c r="L14" s="384"/>
      <c r="M14" s="384"/>
      <c r="N14" s="384"/>
      <c r="O14" s="384"/>
      <c r="P14" s="384"/>
      <c r="Q14" s="385"/>
    </row>
    <row r="15" spans="2:17" x14ac:dyDescent="0.25">
      <c r="B15" s="761"/>
      <c r="C15" s="762"/>
      <c r="D15" s="762"/>
      <c r="E15" s="763"/>
      <c r="F15" s="387"/>
      <c r="G15" s="387"/>
      <c r="H15" s="387"/>
      <c r="I15" s="384"/>
      <c r="J15" s="384"/>
      <c r="K15" s="384"/>
      <c r="L15" s="384"/>
      <c r="M15" s="384"/>
      <c r="N15" s="384"/>
      <c r="O15" s="384"/>
      <c r="P15" s="384"/>
      <c r="Q15" s="385"/>
    </row>
    <row r="16" spans="2:17" x14ac:dyDescent="0.25">
      <c r="B16" s="761"/>
      <c r="C16" s="762"/>
      <c r="D16" s="762"/>
      <c r="E16" s="763"/>
      <c r="F16" s="387"/>
      <c r="G16" s="387"/>
      <c r="H16" s="387"/>
      <c r="I16" s="384"/>
      <c r="J16" s="384"/>
      <c r="K16" s="384"/>
      <c r="L16" s="384"/>
      <c r="M16" s="384"/>
      <c r="N16" s="384"/>
      <c r="O16" s="384"/>
      <c r="P16" s="384"/>
      <c r="Q16" s="385"/>
    </row>
    <row r="17" spans="2:17" x14ac:dyDescent="0.25">
      <c r="B17" s="761"/>
      <c r="C17" s="762"/>
      <c r="D17" s="762"/>
      <c r="E17" s="763"/>
      <c r="F17" s="387"/>
      <c r="G17" s="387"/>
      <c r="H17" s="387"/>
      <c r="I17" s="384"/>
      <c r="J17" s="384"/>
      <c r="K17" s="384"/>
      <c r="L17" s="384"/>
      <c r="M17" s="384"/>
      <c r="N17" s="384"/>
      <c r="O17" s="384"/>
      <c r="P17" s="384"/>
      <c r="Q17" s="385"/>
    </row>
    <row r="18" spans="2:17" x14ac:dyDescent="0.25">
      <c r="B18" s="378"/>
      <c r="I18" s="384"/>
      <c r="J18" s="384"/>
      <c r="K18" s="384"/>
      <c r="L18" s="384"/>
      <c r="M18" s="384"/>
      <c r="N18" s="384"/>
      <c r="O18" s="384"/>
      <c r="P18" s="384"/>
      <c r="Q18" s="385"/>
    </row>
    <row r="19" spans="2:17" x14ac:dyDescent="0.25">
      <c r="B19" s="742" t="s">
        <v>834</v>
      </c>
      <c r="C19" s="743"/>
      <c r="D19" s="743"/>
      <c r="E19" s="743"/>
      <c r="F19" s="743"/>
      <c r="G19" s="743"/>
      <c r="H19" s="744"/>
      <c r="I19" s="384"/>
      <c r="J19" s="384"/>
      <c r="K19" s="384"/>
      <c r="L19" s="384"/>
      <c r="M19" s="384"/>
      <c r="N19" s="384"/>
      <c r="O19" s="384"/>
      <c r="P19" s="384"/>
      <c r="Q19" s="385"/>
    </row>
    <row r="20" spans="2:17" x14ac:dyDescent="0.25">
      <c r="B20" s="375" t="s">
        <v>819</v>
      </c>
      <c r="C20" s="376"/>
      <c r="D20" s="376" t="s">
        <v>820</v>
      </c>
      <c r="E20" s="376"/>
      <c r="F20" s="376"/>
      <c r="G20" s="376" t="s">
        <v>821</v>
      </c>
      <c r="H20" s="377"/>
      <c r="I20" s="384"/>
      <c r="J20" s="384"/>
      <c r="K20" s="384"/>
      <c r="L20" s="384"/>
      <c r="M20" s="384"/>
      <c r="N20" s="384"/>
      <c r="O20" s="384"/>
      <c r="P20" s="384"/>
      <c r="Q20" s="385"/>
    </row>
    <row r="21" spans="2:17" x14ac:dyDescent="0.25">
      <c r="B21" s="378"/>
      <c r="H21" s="379"/>
      <c r="I21" s="384"/>
      <c r="J21" s="384"/>
      <c r="K21" s="384"/>
      <c r="L21" s="384"/>
      <c r="M21" s="384"/>
      <c r="N21" s="384"/>
      <c r="O21" s="384"/>
      <c r="P21" s="384"/>
      <c r="Q21" s="385"/>
    </row>
    <row r="22" spans="2:17" x14ac:dyDescent="0.25">
      <c r="B22" s="380"/>
      <c r="C22" s="381"/>
      <c r="D22" s="381"/>
      <c r="E22" s="381"/>
      <c r="F22" s="381"/>
      <c r="G22" s="381"/>
      <c r="H22" s="382"/>
      <c r="I22" s="384"/>
      <c r="J22" s="384"/>
      <c r="K22" s="384"/>
      <c r="L22" s="384"/>
      <c r="M22" s="384"/>
      <c r="N22" s="384"/>
      <c r="O22" s="384"/>
      <c r="P22" s="384"/>
      <c r="Q22" s="385"/>
    </row>
    <row r="23" spans="2:17" x14ac:dyDescent="0.25">
      <c r="B23" s="375" t="s">
        <v>822</v>
      </c>
      <c r="C23" s="376"/>
      <c r="D23" s="376"/>
      <c r="E23" s="376"/>
      <c r="F23" s="376"/>
      <c r="G23" s="376"/>
      <c r="H23" s="377"/>
      <c r="I23" s="384"/>
      <c r="J23" s="384"/>
      <c r="K23" s="384"/>
      <c r="L23" s="384"/>
      <c r="M23" s="384"/>
      <c r="N23" s="384"/>
      <c r="O23" s="384"/>
      <c r="P23" s="384"/>
      <c r="Q23" s="385"/>
    </row>
    <row r="24" spans="2:17" x14ac:dyDescent="0.25">
      <c r="B24" s="378"/>
      <c r="H24" s="379"/>
      <c r="I24" s="384"/>
      <c r="J24" s="384"/>
      <c r="K24" s="384"/>
      <c r="L24" s="384"/>
      <c r="M24" s="384"/>
      <c r="N24" s="384"/>
      <c r="O24" s="384"/>
      <c r="P24" s="384"/>
      <c r="Q24" s="385"/>
    </row>
    <row r="25" spans="2:17" x14ac:dyDescent="0.25">
      <c r="B25" s="380"/>
      <c r="C25" s="381"/>
      <c r="D25" s="381"/>
      <c r="E25" s="381"/>
      <c r="F25" s="381"/>
      <c r="G25" s="381"/>
      <c r="H25" s="382"/>
      <c r="I25" s="384"/>
      <c r="J25" s="384"/>
      <c r="K25" s="384"/>
      <c r="L25" s="384"/>
      <c r="M25" s="384"/>
      <c r="N25" s="384"/>
      <c r="O25" s="384"/>
      <c r="P25" s="384"/>
      <c r="Q25" s="385"/>
    </row>
    <row r="26" spans="2:17" x14ac:dyDescent="0.25">
      <c r="B26" s="375" t="s">
        <v>823</v>
      </c>
      <c r="C26" s="376"/>
      <c r="D26" s="376"/>
      <c r="E26" s="376"/>
      <c r="F26" s="376"/>
      <c r="G26" s="376"/>
      <c r="H26" s="377"/>
      <c r="I26" s="384"/>
      <c r="J26" s="384"/>
      <c r="K26" s="384"/>
      <c r="L26" s="384"/>
      <c r="M26" s="384"/>
      <c r="N26" s="384"/>
      <c r="O26" s="384"/>
      <c r="P26" s="384"/>
      <c r="Q26" s="385"/>
    </row>
    <row r="27" spans="2:17" x14ac:dyDescent="0.25">
      <c r="B27" s="378"/>
      <c r="H27" s="379"/>
      <c r="I27" s="384"/>
      <c r="J27" s="384"/>
      <c r="K27" s="384"/>
      <c r="L27" s="384"/>
      <c r="M27" s="384"/>
      <c r="N27" s="384"/>
      <c r="O27" s="384"/>
      <c r="P27" s="384"/>
      <c r="Q27" s="385"/>
    </row>
    <row r="28" spans="2:17" x14ac:dyDescent="0.25">
      <c r="B28" s="380"/>
      <c r="C28" s="381"/>
      <c r="D28" s="381"/>
      <c r="E28" s="381"/>
      <c r="F28" s="381"/>
      <c r="G28" s="381"/>
      <c r="H28" s="382"/>
      <c r="I28" s="384"/>
      <c r="J28" s="384"/>
      <c r="K28" s="384"/>
      <c r="L28" s="384"/>
      <c r="M28" s="384"/>
      <c r="N28" s="384"/>
      <c r="O28" s="384"/>
      <c r="P28" s="384"/>
      <c r="Q28" s="385"/>
    </row>
    <row r="29" spans="2:17" x14ac:dyDescent="0.25">
      <c r="B29" s="375" t="s">
        <v>824</v>
      </c>
      <c r="C29" s="376"/>
      <c r="D29" s="376"/>
      <c r="E29" s="376"/>
      <c r="F29" s="376"/>
      <c r="G29" s="376"/>
      <c r="H29" s="377"/>
      <c r="I29" s="384"/>
      <c r="J29" s="384"/>
      <c r="K29" s="384"/>
      <c r="L29" s="384"/>
      <c r="M29" s="384"/>
      <c r="N29" s="384"/>
      <c r="O29" s="384"/>
      <c r="P29" s="384"/>
      <c r="Q29" s="385"/>
    </row>
    <row r="30" spans="2:17" x14ac:dyDescent="0.25">
      <c r="B30" s="378"/>
      <c r="H30" s="379"/>
      <c r="I30" s="384"/>
      <c r="J30" s="384"/>
      <c r="K30" s="384"/>
      <c r="L30" s="384"/>
      <c r="M30" s="384"/>
      <c r="N30" s="384"/>
      <c r="O30" s="384"/>
      <c r="P30" s="384"/>
      <c r="Q30" s="385"/>
    </row>
    <row r="31" spans="2:17" x14ac:dyDescent="0.25">
      <c r="B31" s="380"/>
      <c r="C31" s="381"/>
      <c r="D31" s="381"/>
      <c r="E31" s="381"/>
      <c r="F31" s="381"/>
      <c r="G31" s="381"/>
      <c r="H31" s="382"/>
      <c r="I31" s="384"/>
      <c r="J31" s="384"/>
      <c r="K31" s="384"/>
      <c r="L31" s="384"/>
      <c r="M31" s="384"/>
      <c r="N31" s="384"/>
      <c r="O31" s="384"/>
      <c r="P31" s="384"/>
      <c r="Q31" s="385"/>
    </row>
    <row r="32" spans="2:17" x14ac:dyDescent="0.25">
      <c r="B32" s="752" t="s">
        <v>832</v>
      </c>
      <c r="C32" s="753"/>
      <c r="D32" s="753"/>
      <c r="E32" s="754"/>
      <c r="F32" s="387" t="s">
        <v>818</v>
      </c>
      <c r="G32" s="387" t="s">
        <v>607</v>
      </c>
      <c r="H32" s="387" t="s">
        <v>608</v>
      </c>
      <c r="J32" s="752" t="s">
        <v>836</v>
      </c>
      <c r="K32" s="753"/>
      <c r="L32" s="753"/>
      <c r="M32" s="753"/>
      <c r="N32" s="754"/>
      <c r="O32" s="387" t="s">
        <v>818</v>
      </c>
      <c r="P32" s="387" t="s">
        <v>607</v>
      </c>
      <c r="Q32" s="387" t="s">
        <v>608</v>
      </c>
    </row>
    <row r="33" spans="2:17" x14ac:dyDescent="0.25">
      <c r="B33" s="749"/>
      <c r="C33" s="749"/>
      <c r="D33" s="749"/>
      <c r="E33" s="749"/>
      <c r="F33" s="387"/>
      <c r="G33" s="387"/>
      <c r="H33" s="387"/>
      <c r="J33" s="749"/>
      <c r="K33" s="749"/>
      <c r="L33" s="749"/>
      <c r="M33" s="749"/>
      <c r="N33" s="749"/>
      <c r="O33" s="387"/>
      <c r="P33" s="387"/>
      <c r="Q33" s="387"/>
    </row>
    <row r="34" spans="2:17" x14ac:dyDescent="0.25">
      <c r="B34" s="749"/>
      <c r="C34" s="749"/>
      <c r="D34" s="749"/>
      <c r="E34" s="749"/>
      <c r="F34" s="387"/>
      <c r="G34" s="387"/>
      <c r="H34" s="387"/>
      <c r="J34" s="749"/>
      <c r="K34" s="749"/>
      <c r="L34" s="749"/>
      <c r="M34" s="749"/>
      <c r="N34" s="749"/>
      <c r="O34" s="387"/>
      <c r="P34" s="387"/>
      <c r="Q34" s="387"/>
    </row>
    <row r="35" spans="2:17" x14ac:dyDescent="0.25">
      <c r="B35" s="749"/>
      <c r="C35" s="749"/>
      <c r="D35" s="749"/>
      <c r="E35" s="749"/>
      <c r="F35" s="387"/>
      <c r="G35" s="387"/>
      <c r="H35" s="387"/>
      <c r="J35" s="749"/>
      <c r="K35" s="749"/>
      <c r="L35" s="749"/>
      <c r="M35" s="749"/>
      <c r="N35" s="749"/>
      <c r="O35" s="387"/>
      <c r="P35" s="387"/>
      <c r="Q35" s="387"/>
    </row>
    <row r="36" spans="2:17" x14ac:dyDescent="0.25">
      <c r="B36" s="378"/>
      <c r="Q36" s="379"/>
    </row>
    <row r="37" spans="2:17" x14ac:dyDescent="0.25">
      <c r="B37" s="404" t="s">
        <v>835</v>
      </c>
      <c r="C37" s="405"/>
      <c r="D37" s="402"/>
      <c r="E37" s="402"/>
      <c r="F37" s="402"/>
      <c r="G37" s="402"/>
      <c r="H37" s="402"/>
      <c r="I37" s="402"/>
      <c r="J37" s="402"/>
      <c r="K37" s="402"/>
      <c r="L37" s="402"/>
      <c r="M37" s="402"/>
      <c r="N37" s="402"/>
      <c r="O37" s="402"/>
      <c r="P37" s="402"/>
      <c r="Q37" s="403"/>
    </row>
    <row r="38" spans="2:17" x14ac:dyDescent="0.25">
      <c r="B38" s="383"/>
      <c r="C38" s="384"/>
      <c r="D38" s="384"/>
      <c r="E38" s="384"/>
      <c r="F38" s="384"/>
      <c r="G38" s="384"/>
      <c r="H38" s="384"/>
      <c r="I38" s="384"/>
      <c r="J38" s="384"/>
      <c r="K38" s="384"/>
      <c r="L38" s="384"/>
      <c r="M38" s="384"/>
      <c r="N38" s="384"/>
      <c r="O38" s="384"/>
      <c r="P38" s="384"/>
      <c r="Q38" s="385"/>
    </row>
    <row r="39" spans="2:17" x14ac:dyDescent="0.25">
      <c r="B39" s="383"/>
      <c r="C39" s="384"/>
      <c r="D39" s="384"/>
      <c r="E39" s="384"/>
      <c r="F39" s="384"/>
      <c r="G39" s="384"/>
      <c r="H39" s="384"/>
      <c r="I39" s="384"/>
      <c r="J39" s="384"/>
      <c r="K39" s="384"/>
      <c r="L39" s="384"/>
      <c r="M39" s="384"/>
      <c r="N39" s="384"/>
      <c r="O39" s="384"/>
      <c r="P39" s="384"/>
      <c r="Q39" s="385"/>
    </row>
    <row r="40" spans="2:17" x14ac:dyDescent="0.25">
      <c r="B40" s="383"/>
      <c r="C40" s="384"/>
      <c r="D40" s="384"/>
      <c r="E40" s="384"/>
      <c r="F40" s="384"/>
      <c r="G40" s="384"/>
      <c r="H40" s="384"/>
      <c r="I40" s="384"/>
      <c r="J40" s="384"/>
      <c r="K40" s="384"/>
      <c r="L40" s="384"/>
      <c r="M40" s="384"/>
      <c r="N40" s="384"/>
      <c r="O40" s="384"/>
      <c r="P40" s="384"/>
      <c r="Q40" s="385"/>
    </row>
    <row r="41" spans="2:17" x14ac:dyDescent="0.25">
      <c r="B41" s="383"/>
      <c r="C41" s="384"/>
      <c r="D41" s="384"/>
      <c r="E41" s="384"/>
      <c r="F41" s="384"/>
      <c r="G41" s="384"/>
      <c r="H41" s="384"/>
      <c r="I41" s="384"/>
      <c r="J41" s="384"/>
      <c r="K41" s="384"/>
      <c r="L41" s="384"/>
      <c r="M41" s="384"/>
      <c r="N41" s="384"/>
      <c r="O41" s="384"/>
      <c r="P41" s="384"/>
      <c r="Q41" s="385"/>
    </row>
    <row r="42" spans="2:17" x14ac:dyDescent="0.25">
      <c r="B42" s="383"/>
      <c r="C42" s="384"/>
      <c r="D42" s="384"/>
      <c r="E42" s="384"/>
      <c r="F42" s="384"/>
      <c r="G42" s="384"/>
      <c r="H42" s="384"/>
      <c r="I42" s="384"/>
      <c r="J42" s="384"/>
      <c r="K42" s="384"/>
      <c r="L42" s="384"/>
      <c r="M42" s="384"/>
      <c r="N42" s="384"/>
      <c r="O42" s="384"/>
      <c r="P42" s="384"/>
      <c r="Q42" s="385"/>
    </row>
    <row r="43" spans="2:17" x14ac:dyDescent="0.25">
      <c r="B43" s="383"/>
      <c r="C43" s="384"/>
      <c r="D43" s="384"/>
      <c r="E43" s="384"/>
      <c r="F43" s="384"/>
      <c r="G43" s="384"/>
      <c r="H43" s="384"/>
      <c r="I43" s="384"/>
      <c r="J43" s="384"/>
      <c r="K43" s="384"/>
      <c r="L43" s="384"/>
      <c r="M43" s="384"/>
      <c r="N43" s="384"/>
      <c r="O43" s="384"/>
      <c r="P43" s="384"/>
      <c r="Q43" s="385"/>
    </row>
    <row r="44" spans="2:17" x14ac:dyDescent="0.25">
      <c r="B44" s="383"/>
      <c r="C44" s="384"/>
      <c r="D44" s="384"/>
      <c r="E44" s="384"/>
      <c r="F44" s="384"/>
      <c r="G44" s="384"/>
      <c r="H44" s="384"/>
      <c r="I44" s="384"/>
      <c r="J44" s="384"/>
      <c r="K44" s="384"/>
      <c r="L44" s="384"/>
      <c r="M44" s="384"/>
      <c r="N44" s="384"/>
      <c r="O44" s="384"/>
      <c r="P44" s="384"/>
      <c r="Q44" s="385"/>
    </row>
    <row r="45" spans="2:17" x14ac:dyDescent="0.25">
      <c r="B45" s="383"/>
      <c r="C45" s="384"/>
      <c r="D45" s="384"/>
      <c r="E45" s="384"/>
      <c r="F45" s="384"/>
      <c r="G45" s="384"/>
      <c r="H45" s="384"/>
      <c r="I45" s="384"/>
      <c r="J45" s="384"/>
      <c r="K45" s="384"/>
      <c r="L45" s="384"/>
      <c r="M45" s="384"/>
      <c r="N45" s="384"/>
      <c r="O45" s="384"/>
      <c r="P45" s="384"/>
      <c r="Q45" s="385"/>
    </row>
    <row r="46" spans="2:17" x14ac:dyDescent="0.25">
      <c r="B46" s="383"/>
      <c r="C46" s="384"/>
      <c r="D46" s="384"/>
      <c r="E46" s="384"/>
      <c r="F46" s="384"/>
      <c r="G46" s="384"/>
      <c r="H46" s="384"/>
      <c r="I46" s="384"/>
      <c r="J46" s="384"/>
      <c r="K46" s="384"/>
      <c r="L46" s="384"/>
      <c r="M46" s="384"/>
      <c r="N46" s="384"/>
      <c r="O46" s="384"/>
      <c r="P46" s="384"/>
      <c r="Q46" s="385"/>
    </row>
    <row r="47" spans="2:17" x14ac:dyDescent="0.25">
      <c r="B47" s="383"/>
      <c r="C47" s="384"/>
      <c r="D47" s="384"/>
      <c r="E47" s="384"/>
      <c r="F47" s="384"/>
      <c r="G47" s="384"/>
      <c r="H47" s="384"/>
      <c r="I47" s="384"/>
      <c r="J47" s="384"/>
      <c r="K47" s="384"/>
      <c r="L47" s="384"/>
      <c r="M47" s="384"/>
      <c r="N47" s="384"/>
      <c r="O47" s="384"/>
      <c r="P47" s="384"/>
      <c r="Q47" s="385"/>
    </row>
    <row r="48" spans="2:17" x14ac:dyDescent="0.25">
      <c r="B48" s="383"/>
      <c r="C48" s="384"/>
      <c r="D48" s="384"/>
      <c r="E48" s="384"/>
      <c r="F48" s="384"/>
      <c r="G48" s="384"/>
      <c r="H48" s="384"/>
      <c r="I48" s="384"/>
      <c r="J48" s="384"/>
      <c r="K48" s="384"/>
      <c r="L48" s="384"/>
      <c r="M48" s="384"/>
      <c r="N48" s="384"/>
      <c r="O48" s="384"/>
      <c r="P48" s="384"/>
      <c r="Q48" s="385"/>
    </row>
    <row r="49" spans="2:17" x14ac:dyDescent="0.25">
      <c r="B49" s="383"/>
      <c r="C49" s="384"/>
      <c r="D49" s="384"/>
      <c r="E49" s="384"/>
      <c r="F49" s="384"/>
      <c r="G49" s="384"/>
      <c r="H49" s="384"/>
      <c r="I49" s="384"/>
      <c r="J49" s="384"/>
      <c r="K49" s="384"/>
      <c r="L49" s="384"/>
      <c r="M49" s="384"/>
      <c r="N49" s="384"/>
      <c r="O49" s="384"/>
      <c r="P49" s="384"/>
      <c r="Q49" s="385"/>
    </row>
    <row r="50" spans="2:17" x14ac:dyDescent="0.25">
      <c r="B50" s="383"/>
      <c r="C50" s="384"/>
      <c r="D50" s="384"/>
      <c r="E50" s="384"/>
      <c r="F50" s="384"/>
      <c r="G50" s="384"/>
      <c r="H50" s="384"/>
      <c r="I50" s="384"/>
      <c r="J50" s="384"/>
      <c r="K50" s="384"/>
      <c r="L50" s="384"/>
      <c r="M50" s="384"/>
      <c r="N50" s="384"/>
      <c r="O50" s="384"/>
      <c r="P50" s="384"/>
      <c r="Q50" s="385"/>
    </row>
    <row r="51" spans="2:17" x14ac:dyDescent="0.25">
      <c r="B51" s="383"/>
      <c r="C51" s="384"/>
      <c r="D51" s="384"/>
      <c r="E51" s="384"/>
      <c r="F51" s="384"/>
      <c r="G51" s="384"/>
      <c r="H51" s="384"/>
      <c r="I51" s="384"/>
      <c r="J51" s="384"/>
      <c r="K51" s="384"/>
      <c r="L51" s="384"/>
      <c r="M51" s="384"/>
      <c r="N51" s="384"/>
      <c r="O51" s="384"/>
      <c r="P51" s="384"/>
      <c r="Q51" s="385"/>
    </row>
    <row r="52" spans="2:17" x14ac:dyDescent="0.25">
      <c r="B52" s="383"/>
      <c r="C52" s="384"/>
      <c r="D52" s="384"/>
      <c r="E52" s="384"/>
      <c r="F52" s="384"/>
      <c r="G52" s="384"/>
      <c r="H52" s="384"/>
      <c r="I52" s="384"/>
      <c r="J52" s="384"/>
      <c r="K52" s="384"/>
      <c r="L52" s="384"/>
      <c r="M52" s="384"/>
      <c r="N52" s="384"/>
      <c r="O52" s="384"/>
      <c r="P52" s="384"/>
      <c r="Q52" s="385"/>
    </row>
    <row r="53" spans="2:17" x14ac:dyDescent="0.25">
      <c r="B53" s="383"/>
      <c r="C53" s="384"/>
      <c r="D53" s="384"/>
      <c r="E53" s="384"/>
      <c r="F53" s="384"/>
      <c r="G53" s="384"/>
      <c r="H53" s="384"/>
      <c r="I53" s="384"/>
      <c r="J53" s="384"/>
      <c r="K53" s="384"/>
      <c r="L53" s="384"/>
      <c r="M53" s="384"/>
      <c r="N53" s="384"/>
      <c r="O53" s="384"/>
      <c r="P53" s="384"/>
      <c r="Q53" s="385"/>
    </row>
    <row r="54" spans="2:17" x14ac:dyDescent="0.25">
      <c r="B54" s="380"/>
      <c r="C54" s="381"/>
      <c r="D54" s="381"/>
      <c r="E54" s="381"/>
      <c r="F54" s="381"/>
      <c r="G54" s="381"/>
      <c r="H54" s="381"/>
      <c r="I54" s="381"/>
      <c r="J54" s="381"/>
      <c r="K54" s="381"/>
      <c r="L54" s="381"/>
      <c r="M54" s="381"/>
      <c r="N54" s="381"/>
      <c r="O54" s="381"/>
      <c r="P54" s="381"/>
      <c r="Q54" s="382"/>
    </row>
    <row r="55" spans="2:17" x14ac:dyDescent="0.25">
      <c r="B55" s="378"/>
      <c r="Q55" s="379"/>
    </row>
    <row r="56" spans="2:17" x14ac:dyDescent="0.25">
      <c r="B56" s="752" t="s">
        <v>837</v>
      </c>
      <c r="C56" s="753"/>
      <c r="D56" s="753"/>
      <c r="E56" s="754"/>
      <c r="F56" s="387" t="s">
        <v>818</v>
      </c>
      <c r="G56" s="387" t="s">
        <v>607</v>
      </c>
      <c r="H56" s="387" t="s">
        <v>608</v>
      </c>
      <c r="J56" s="386" t="s">
        <v>825</v>
      </c>
      <c r="K56" s="376"/>
      <c r="L56" s="376"/>
      <c r="M56" s="376"/>
      <c r="N56" s="376"/>
      <c r="O56" s="376"/>
      <c r="P56" s="376"/>
      <c r="Q56" s="377"/>
    </row>
    <row r="57" spans="2:17" x14ac:dyDescent="0.25">
      <c r="B57" s="749"/>
      <c r="C57" s="749"/>
      <c r="D57" s="749"/>
      <c r="E57" s="749"/>
      <c r="F57" s="387"/>
      <c r="G57" s="387"/>
      <c r="H57" s="387"/>
      <c r="J57" s="378"/>
      <c r="Q57" s="379"/>
    </row>
    <row r="58" spans="2:17" x14ac:dyDescent="0.25">
      <c r="B58" s="749"/>
      <c r="C58" s="749"/>
      <c r="D58" s="749"/>
      <c r="E58" s="749"/>
      <c r="F58" s="387"/>
      <c r="G58" s="387"/>
      <c r="H58" s="387"/>
      <c r="J58" s="378"/>
      <c r="Q58" s="379"/>
    </row>
    <row r="59" spans="2:17" x14ac:dyDescent="0.25">
      <c r="B59" s="749"/>
      <c r="C59" s="749"/>
      <c r="D59" s="749"/>
      <c r="E59" s="749"/>
      <c r="F59" s="387"/>
      <c r="G59" s="387"/>
      <c r="H59" s="387"/>
      <c r="J59" s="380"/>
      <c r="K59" s="381"/>
      <c r="L59" s="381"/>
      <c r="M59" s="381"/>
      <c r="N59" s="381"/>
      <c r="O59" s="381"/>
      <c r="P59" s="381"/>
      <c r="Q59" s="382"/>
    </row>
    <row r="60" spans="2:17" x14ac:dyDescent="0.25">
      <c r="B60" s="378"/>
      <c r="Q60" s="379"/>
    </row>
    <row r="61" spans="2:17" x14ac:dyDescent="0.25">
      <c r="B61" s="386" t="s">
        <v>826</v>
      </c>
      <c r="C61" s="376"/>
      <c r="D61" s="376"/>
      <c r="E61" s="376"/>
      <c r="F61" s="376" t="s">
        <v>827</v>
      </c>
      <c r="G61" s="376"/>
      <c r="H61" s="376"/>
      <c r="I61" s="376" t="s">
        <v>387</v>
      </c>
      <c r="J61" s="376"/>
      <c r="K61" s="376"/>
      <c r="L61" s="377"/>
      <c r="M61" s="746" t="s">
        <v>838</v>
      </c>
      <c r="N61" s="746"/>
      <c r="O61" s="746"/>
      <c r="P61" s="746"/>
      <c r="Q61" s="746"/>
    </row>
    <row r="62" spans="2:17" x14ac:dyDescent="0.25">
      <c r="B62" s="378"/>
      <c r="L62" s="379"/>
      <c r="M62" s="749"/>
      <c r="N62" s="749"/>
      <c r="O62" s="749"/>
      <c r="P62" s="749"/>
      <c r="Q62" s="749"/>
    </row>
    <row r="63" spans="2:17" x14ac:dyDescent="0.25">
      <c r="B63" s="378"/>
      <c r="L63" s="379"/>
      <c r="M63" s="749"/>
      <c r="N63" s="749"/>
      <c r="O63" s="749"/>
      <c r="P63" s="749"/>
      <c r="Q63" s="749"/>
    </row>
    <row r="64" spans="2:17" x14ac:dyDescent="0.25">
      <c r="B64" s="380"/>
      <c r="C64" s="381"/>
      <c r="D64" s="381"/>
      <c r="E64" s="381"/>
      <c r="F64" s="381"/>
      <c r="G64" s="381"/>
      <c r="H64" s="381"/>
      <c r="I64" s="381"/>
      <c r="J64" s="381"/>
      <c r="K64" s="381"/>
      <c r="L64" s="382"/>
      <c r="M64" s="749"/>
      <c r="N64" s="749"/>
      <c r="O64" s="749"/>
      <c r="P64" s="749"/>
      <c r="Q64" s="749"/>
    </row>
  </sheetData>
  <mergeCells count="29">
    <mergeCell ref="B57:E57"/>
    <mergeCell ref="B58:E58"/>
    <mergeCell ref="B59:E59"/>
    <mergeCell ref="B1:Q2"/>
    <mergeCell ref="B14:E14"/>
    <mergeCell ref="B15:E15"/>
    <mergeCell ref="B16:E16"/>
    <mergeCell ref="B17:E17"/>
    <mergeCell ref="B32:E32"/>
    <mergeCell ref="J35:N35"/>
    <mergeCell ref="B8:H12"/>
    <mergeCell ref="B7:H7"/>
    <mergeCell ref="B13:H13"/>
    <mergeCell ref="M61:Q61"/>
    <mergeCell ref="M62:Q62"/>
    <mergeCell ref="M63:Q63"/>
    <mergeCell ref="M64:Q64"/>
    <mergeCell ref="B4:C4"/>
    <mergeCell ref="D4:E4"/>
    <mergeCell ref="G4:L4"/>
    <mergeCell ref="B33:E33"/>
    <mergeCell ref="B34:E34"/>
    <mergeCell ref="B35:E35"/>
    <mergeCell ref="B19:H19"/>
    <mergeCell ref="J32:N32"/>
    <mergeCell ref="I7:Q7"/>
    <mergeCell ref="J33:N33"/>
    <mergeCell ref="J34:N34"/>
    <mergeCell ref="B56:E56"/>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S13"/>
  <sheetViews>
    <sheetView tabSelected="1" workbookViewId="0">
      <selection activeCell="J6" sqref="J6:J7"/>
    </sheetView>
  </sheetViews>
  <sheetFormatPr baseColWidth="10" defaultColWidth="11.42578125" defaultRowHeight="15" x14ac:dyDescent="0.25"/>
  <cols>
    <col min="1" max="1" width="17.7109375" style="13" customWidth="1"/>
    <col min="2" max="2" width="27.5703125" style="414" customWidth="1"/>
    <col min="3" max="3" width="19.28515625" style="13" customWidth="1"/>
    <col min="4" max="4" width="22" style="13" customWidth="1"/>
    <col min="5" max="5" width="13.85546875" style="13" bestFit="1" customWidth="1"/>
    <col min="6" max="6" width="15.42578125" style="13" bestFit="1" customWidth="1"/>
    <col min="7" max="8" width="11.42578125" style="13"/>
    <col min="9" max="9" width="14" style="13" customWidth="1"/>
    <col min="10" max="10" width="15" style="13" customWidth="1"/>
    <col min="11" max="11" width="12.85546875" style="13" customWidth="1"/>
    <col min="12" max="13" width="11.42578125" style="13"/>
    <col min="14" max="14" width="15.42578125" style="13" bestFit="1" customWidth="1"/>
    <col min="15" max="16384" width="11.42578125" style="13"/>
  </cols>
  <sheetData>
    <row r="1" spans="1:19" x14ac:dyDescent="0.25">
      <c r="A1" s="776" t="s">
        <v>851</v>
      </c>
      <c r="B1" s="776"/>
      <c r="C1" s="776"/>
      <c r="D1" s="776"/>
      <c r="E1" s="776"/>
      <c r="F1" s="776"/>
      <c r="G1" s="776"/>
      <c r="H1" s="776"/>
      <c r="I1" s="776"/>
      <c r="J1" s="776"/>
      <c r="K1" s="776"/>
      <c r="L1" s="776"/>
      <c r="M1" s="776"/>
      <c r="N1" s="776"/>
      <c r="O1" s="776"/>
      <c r="P1" s="776"/>
      <c r="Q1" s="776"/>
      <c r="R1" s="776"/>
      <c r="S1" s="776"/>
    </row>
    <row r="2" spans="1:19" x14ac:dyDescent="0.25">
      <c r="A2" s="776"/>
      <c r="B2" s="776"/>
      <c r="C2" s="776"/>
      <c r="D2" s="776"/>
      <c r="E2" s="776"/>
      <c r="F2" s="776"/>
      <c r="G2" s="776"/>
      <c r="H2" s="776"/>
      <c r="I2" s="776"/>
      <c r="J2" s="776"/>
      <c r="K2" s="776"/>
      <c r="L2" s="776"/>
      <c r="M2" s="776"/>
      <c r="N2" s="776"/>
      <c r="O2" s="776"/>
      <c r="P2" s="776"/>
      <c r="Q2" s="776"/>
      <c r="R2" s="776"/>
      <c r="S2" s="776"/>
    </row>
    <row r="3" spans="1:19" x14ac:dyDescent="0.25">
      <c r="A3" s="776"/>
      <c r="B3" s="776"/>
      <c r="C3" s="776"/>
      <c r="D3" s="776"/>
      <c r="E3" s="776"/>
      <c r="F3" s="776"/>
      <c r="G3" s="776"/>
      <c r="H3" s="776"/>
      <c r="I3" s="776"/>
      <c r="J3" s="776"/>
      <c r="K3" s="776"/>
      <c r="L3" s="776"/>
      <c r="M3" s="776"/>
      <c r="N3" s="776"/>
      <c r="O3" s="776"/>
      <c r="P3" s="776"/>
      <c r="Q3" s="776"/>
      <c r="R3" s="776"/>
      <c r="S3" s="776"/>
    </row>
    <row r="5" spans="1:19" ht="31.5" x14ac:dyDescent="0.25">
      <c r="A5" s="407" t="s">
        <v>852</v>
      </c>
      <c r="B5" s="408" t="s">
        <v>853</v>
      </c>
      <c r="C5" s="408" t="s">
        <v>854</v>
      </c>
      <c r="D5" s="408" t="s">
        <v>855</v>
      </c>
      <c r="E5" s="409" t="s">
        <v>856</v>
      </c>
      <c r="F5" s="409" t="s">
        <v>857</v>
      </c>
      <c r="G5" s="408" t="s">
        <v>685</v>
      </c>
      <c r="H5" s="408" t="s">
        <v>858</v>
      </c>
      <c r="I5" s="410" t="s">
        <v>859</v>
      </c>
      <c r="J5" s="410" t="s">
        <v>860</v>
      </c>
      <c r="K5" s="411" t="s">
        <v>859</v>
      </c>
      <c r="L5" s="411" t="s">
        <v>861</v>
      </c>
      <c r="M5" s="394" t="s">
        <v>652</v>
      </c>
      <c r="N5" s="16" t="s">
        <v>862</v>
      </c>
      <c r="O5" s="16" t="s">
        <v>863</v>
      </c>
      <c r="P5" s="16" t="s">
        <v>864</v>
      </c>
      <c r="Q5" s="777" t="s">
        <v>865</v>
      </c>
      <c r="R5" s="778"/>
      <c r="S5" s="779"/>
    </row>
    <row r="6" spans="1:19" ht="15" customHeight="1" x14ac:dyDescent="0.25">
      <c r="A6" s="775">
        <v>1</v>
      </c>
      <c r="B6" s="748">
        <v>15</v>
      </c>
      <c r="C6" s="748">
        <v>5</v>
      </c>
      <c r="D6" s="748">
        <v>12</v>
      </c>
      <c r="E6" s="775">
        <v>480</v>
      </c>
      <c r="F6" s="775">
        <f>C6+D6</f>
        <v>17</v>
      </c>
      <c r="G6" s="775">
        <f>E6-B6</f>
        <v>465</v>
      </c>
      <c r="H6" s="748">
        <f>E6-B6-F6</f>
        <v>448</v>
      </c>
      <c r="I6" s="748">
        <v>95</v>
      </c>
      <c r="J6" s="748">
        <v>100</v>
      </c>
      <c r="K6" s="748">
        <f>I6</f>
        <v>95</v>
      </c>
      <c r="L6" s="748">
        <f>K6-M6</f>
        <v>92</v>
      </c>
      <c r="M6" s="775">
        <v>3</v>
      </c>
      <c r="N6" s="773">
        <f>H6/G6</f>
        <v>0.96344086021505382</v>
      </c>
      <c r="O6" s="773">
        <f>I6/J6</f>
        <v>0.95</v>
      </c>
      <c r="P6" s="773">
        <f>L6/K6</f>
        <v>0.96842105263157896</v>
      </c>
      <c r="Q6" s="774">
        <f>N6*O6*P6</f>
        <v>0.88636559139784954</v>
      </c>
      <c r="R6" s="774"/>
      <c r="S6" s="774"/>
    </row>
    <row r="7" spans="1:19" ht="15" customHeight="1" x14ac:dyDescent="0.25">
      <c r="A7" s="775"/>
      <c r="B7" s="748"/>
      <c r="C7" s="748"/>
      <c r="D7" s="748"/>
      <c r="E7" s="775"/>
      <c r="F7" s="775"/>
      <c r="G7" s="775"/>
      <c r="H7" s="748"/>
      <c r="I7" s="748"/>
      <c r="J7" s="748"/>
      <c r="K7" s="748"/>
      <c r="L7" s="748"/>
      <c r="M7" s="775"/>
      <c r="N7" s="773"/>
      <c r="O7" s="773"/>
      <c r="P7" s="773"/>
      <c r="Q7" s="774"/>
      <c r="R7" s="774"/>
      <c r="S7" s="774"/>
    </row>
    <row r="8" spans="1:19" ht="15" customHeight="1" x14ac:dyDescent="0.25">
      <c r="A8" s="775">
        <v>2</v>
      </c>
      <c r="B8" s="748">
        <v>15</v>
      </c>
      <c r="C8" s="748">
        <v>5</v>
      </c>
      <c r="D8" s="748">
        <v>10</v>
      </c>
      <c r="E8" s="775">
        <v>480</v>
      </c>
      <c r="F8" s="775">
        <f t="shared" ref="F8" si="0">C8+D8</f>
        <v>15</v>
      </c>
      <c r="G8" s="775">
        <f t="shared" ref="G8" si="1">E8-B8</f>
        <v>465</v>
      </c>
      <c r="H8" s="748">
        <f t="shared" ref="H8" si="2">E8-B8-F8</f>
        <v>450</v>
      </c>
      <c r="I8" s="748">
        <v>80</v>
      </c>
      <c r="J8" s="748">
        <v>100</v>
      </c>
      <c r="K8" s="748">
        <f>I8</f>
        <v>80</v>
      </c>
      <c r="L8" s="748">
        <f t="shared" ref="L8" si="3">K8-M8</f>
        <v>76</v>
      </c>
      <c r="M8" s="775">
        <v>4</v>
      </c>
      <c r="N8" s="773">
        <f t="shared" ref="N8" si="4">H8/G8</f>
        <v>0.967741935483871</v>
      </c>
      <c r="O8" s="773">
        <f t="shared" ref="O8" si="5">I8/J8</f>
        <v>0.8</v>
      </c>
      <c r="P8" s="773">
        <f t="shared" ref="P8" si="6">L8/K8</f>
        <v>0.95</v>
      </c>
      <c r="Q8" s="774">
        <f t="shared" ref="Q8" si="7">N8*O8*P8</f>
        <v>0.73548387096774204</v>
      </c>
      <c r="R8" s="774"/>
      <c r="S8" s="774"/>
    </row>
    <row r="9" spans="1:19" ht="15" customHeight="1" x14ac:dyDescent="0.25">
      <c r="A9" s="775"/>
      <c r="B9" s="748"/>
      <c r="C9" s="748"/>
      <c r="D9" s="748"/>
      <c r="E9" s="775"/>
      <c r="F9" s="775"/>
      <c r="G9" s="775"/>
      <c r="H9" s="748"/>
      <c r="I9" s="748"/>
      <c r="J9" s="748"/>
      <c r="K9" s="748"/>
      <c r="L9" s="748"/>
      <c r="M9" s="775"/>
      <c r="N9" s="773"/>
      <c r="O9" s="773"/>
      <c r="P9" s="773"/>
      <c r="Q9" s="774"/>
      <c r="R9" s="774"/>
      <c r="S9" s="774"/>
    </row>
    <row r="10" spans="1:19" x14ac:dyDescent="0.25">
      <c r="A10" s="775">
        <v>3</v>
      </c>
      <c r="B10" s="748">
        <v>15</v>
      </c>
      <c r="C10" s="748">
        <v>5</v>
      </c>
      <c r="D10" s="748">
        <v>15</v>
      </c>
      <c r="E10" s="775">
        <v>480</v>
      </c>
      <c r="F10" s="775">
        <f t="shared" ref="F10" si="8">C10+D10</f>
        <v>20</v>
      </c>
      <c r="G10" s="775">
        <f t="shared" ref="G10" si="9">E10-B10</f>
        <v>465</v>
      </c>
      <c r="H10" s="748">
        <f t="shared" ref="H10" si="10">E10-B10-F10</f>
        <v>445</v>
      </c>
      <c r="I10" s="748">
        <v>88</v>
      </c>
      <c r="J10" s="748">
        <v>100</v>
      </c>
      <c r="K10" s="748">
        <f>I10</f>
        <v>88</v>
      </c>
      <c r="L10" s="748">
        <f t="shared" ref="L10" si="11">K10-M10</f>
        <v>83</v>
      </c>
      <c r="M10" s="775">
        <v>5</v>
      </c>
      <c r="N10" s="773">
        <f t="shared" ref="N10" si="12">H10/G10</f>
        <v>0.956989247311828</v>
      </c>
      <c r="O10" s="773">
        <f t="shared" ref="O10" si="13">I10/J10</f>
        <v>0.88</v>
      </c>
      <c r="P10" s="773">
        <f t="shared" ref="P10" si="14">L10/K10</f>
        <v>0.94318181818181823</v>
      </c>
      <c r="Q10" s="774">
        <f t="shared" ref="Q10" si="15">N10*O10*P10</f>
        <v>0.79430107526881721</v>
      </c>
      <c r="R10" s="774"/>
      <c r="S10" s="774"/>
    </row>
    <row r="11" spans="1:19" x14ac:dyDescent="0.25">
      <c r="A11" s="775"/>
      <c r="B11" s="748"/>
      <c r="C11" s="748"/>
      <c r="D11" s="748"/>
      <c r="E11" s="775"/>
      <c r="F11" s="775"/>
      <c r="G11" s="775"/>
      <c r="H11" s="748"/>
      <c r="I11" s="748"/>
      <c r="J11" s="748"/>
      <c r="K11" s="748"/>
      <c r="L11" s="748"/>
      <c r="M11" s="775"/>
      <c r="N11" s="773"/>
      <c r="O11" s="773"/>
      <c r="P11" s="773"/>
      <c r="Q11" s="774"/>
      <c r="R11" s="774"/>
      <c r="S11" s="774"/>
    </row>
    <row r="12" spans="1:19" x14ac:dyDescent="0.25">
      <c r="B12" s="13"/>
      <c r="N12" s="412"/>
    </row>
    <row r="13" spans="1:19" x14ac:dyDescent="0.25">
      <c r="B13" s="13"/>
      <c r="F13" s="413"/>
    </row>
  </sheetData>
  <mergeCells count="53">
    <mergeCell ref="A1:S3"/>
    <mergeCell ref="Q5:S5"/>
    <mergeCell ref="A6:A7"/>
    <mergeCell ref="B6:B7"/>
    <mergeCell ref="C6:C7"/>
    <mergeCell ref="D6:D7"/>
    <mergeCell ref="E6:E7"/>
    <mergeCell ref="F6:F7"/>
    <mergeCell ref="G6:G7"/>
    <mergeCell ref="H6:H7"/>
    <mergeCell ref="O6:O7"/>
    <mergeCell ref="P6:P7"/>
    <mergeCell ref="Q6:S7"/>
    <mergeCell ref="L6:L7"/>
    <mergeCell ref="M6:M7"/>
    <mergeCell ref="N6:N7"/>
    <mergeCell ref="I6:I7"/>
    <mergeCell ref="J6:J7"/>
    <mergeCell ref="K6:K7"/>
    <mergeCell ref="A8:A9"/>
    <mergeCell ref="B8:B9"/>
    <mergeCell ref="C8:C9"/>
    <mergeCell ref="D8:D9"/>
    <mergeCell ref="E8:E9"/>
    <mergeCell ref="F10:F11"/>
    <mergeCell ref="H8:H9"/>
    <mergeCell ref="I8:I9"/>
    <mergeCell ref="J8:J9"/>
    <mergeCell ref="K8:K9"/>
    <mergeCell ref="G10:G11"/>
    <mergeCell ref="H10:H11"/>
    <mergeCell ref="I10:I11"/>
    <mergeCell ref="J10:J11"/>
    <mergeCell ref="K10:K11"/>
    <mergeCell ref="F8:F9"/>
    <mergeCell ref="G8:G9"/>
    <mergeCell ref="A10:A11"/>
    <mergeCell ref="B10:B11"/>
    <mergeCell ref="C10:C11"/>
    <mergeCell ref="D10:D11"/>
    <mergeCell ref="E10:E11"/>
    <mergeCell ref="L10:L11"/>
    <mergeCell ref="N8:N9"/>
    <mergeCell ref="O8:O9"/>
    <mergeCell ref="P8:P9"/>
    <mergeCell ref="Q8:S9"/>
    <mergeCell ref="L8:L9"/>
    <mergeCell ref="M8:M9"/>
    <mergeCell ref="M10:M11"/>
    <mergeCell ref="N10:N11"/>
    <mergeCell ref="O10:O11"/>
    <mergeCell ref="P10:P11"/>
    <mergeCell ref="Q10:S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vt:i4>
      </vt:variant>
    </vt:vector>
  </HeadingPairs>
  <TitlesOfParts>
    <vt:vector size="36" baseType="lpstr">
      <vt:lpstr>Evaluacion 5s</vt:lpstr>
      <vt:lpstr>MRP</vt:lpstr>
      <vt:lpstr>costos de produccion</vt:lpstr>
      <vt:lpstr>Gantt</vt:lpstr>
      <vt:lpstr>Indice productividad</vt:lpstr>
      <vt:lpstr>Grafico control ventas</vt:lpstr>
      <vt:lpstr>Balanceo lineas produccion</vt:lpstr>
      <vt:lpstr>Desempeño Líneas de producción</vt:lpstr>
      <vt:lpstr>Productividad por producto</vt:lpstr>
      <vt:lpstr>Grafica procesos X-R</vt:lpstr>
      <vt:lpstr>Conversión de unidades</vt:lpstr>
      <vt:lpstr>diagrama de procesos</vt:lpstr>
      <vt:lpstr>diagrama bimanual</vt:lpstr>
      <vt:lpstr>diagrama ishikawa</vt:lpstr>
      <vt:lpstr>takt time</vt:lpstr>
      <vt:lpstr>lote de produccion</vt:lpstr>
      <vt:lpstr>diagrama hombre maquina</vt:lpstr>
      <vt:lpstr>CP</vt:lpstr>
      <vt:lpstr>productividad ejercicios</vt:lpstr>
      <vt:lpstr>capacidad de produccion</vt:lpstr>
      <vt:lpstr>balanceo lineas produccion (2)</vt:lpstr>
      <vt:lpstr>cross functional map</vt:lpstr>
      <vt:lpstr>Diagrama de correlacion</vt:lpstr>
      <vt:lpstr>minuta de reunión</vt:lpstr>
      <vt:lpstr>Mantenimiento autonomo</vt:lpstr>
      <vt:lpstr>Mantenimiento preventivo</vt:lpstr>
      <vt:lpstr>Hoja desperdicios de lean</vt:lpstr>
      <vt:lpstr>Calculo WIP to SWIP</vt:lpstr>
      <vt:lpstr>Calculo rendimiento total glob </vt:lpstr>
      <vt:lpstr>Calculo para caja heijunka</vt:lpstr>
      <vt:lpstr>Evento kaizen</vt:lpstr>
      <vt:lpstr>AMEF</vt:lpstr>
      <vt:lpstr>Tecnica interrogatorio</vt:lpstr>
      <vt:lpstr>8 Ds</vt:lpstr>
      <vt:lpstr>OEE</vt:lpstr>
      <vt:lpstr>'diagrama de procesos'!Área_de_impresión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Armando Peña</dc:creator>
  <cp:lastModifiedBy>Rankorner Rankorner</cp:lastModifiedBy>
  <dcterms:created xsi:type="dcterms:W3CDTF">2021-10-05T17:28:04Z</dcterms:created>
  <dcterms:modified xsi:type="dcterms:W3CDTF">2025-09-08T16:05:24Z</dcterms:modified>
</cp:coreProperties>
</file>